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onatog\"/>
    </mc:Choice>
  </mc:AlternateContent>
  <xr:revisionPtr revIDLastSave="0" documentId="13_ncr:1_{CF0FFC48-0493-4A55-9FF1-02B5CB973023}" xr6:coauthVersionLast="41" xr6:coauthVersionMax="41" xr10:uidLastSave="{00000000-0000-0000-0000-000000000000}"/>
  <bookViews>
    <workbookView xWindow="-110" yWindow="-110" windowWidth="19420" windowHeight="10420" activeTab="1" xr2:uid="{CAD21717-448B-4D30-B505-0A4DD0180CA6}"/>
  </bookViews>
  <sheets>
    <sheet name="Summary" sheetId="4" r:id="rId1"/>
    <sheet name="SummaryChart" sheetId="6" r:id="rId2"/>
    <sheet name="Policy with NO Fixed bonus" sheetId="1" r:id="rId3"/>
    <sheet name="0.5% fixed bonus Loan Option #1" sheetId="3" r:id="rId4"/>
    <sheet name="0.5% fixed bonus Loan Option #2" sheetId="2" r:id="rId5"/>
    <sheet name="0.5% fixed bonus Loan Option #3" sheetId="5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1" i="6" l="1"/>
  <c r="O6" i="5"/>
  <c r="O7" i="5"/>
  <c r="O8" i="5"/>
  <c r="O9" i="5"/>
  <c r="O10" i="5"/>
  <c r="O11" i="5"/>
  <c r="O12" i="5"/>
  <c r="O13" i="5"/>
  <c r="O14" i="5"/>
  <c r="O15" i="5"/>
  <c r="O16" i="5"/>
  <c r="R16" i="5" s="1"/>
  <c r="O17" i="5"/>
  <c r="O18" i="5"/>
  <c r="R18" i="5" s="1"/>
  <c r="O19" i="5"/>
  <c r="R19" i="5" s="1"/>
  <c r="O5" i="5"/>
  <c r="R5" i="5" s="1"/>
  <c r="H69" i="5"/>
  <c r="H68" i="5"/>
  <c r="H67" i="5"/>
  <c r="H66" i="5"/>
  <c r="H65" i="5"/>
  <c r="H64" i="5"/>
  <c r="H63" i="5"/>
  <c r="H62" i="5"/>
  <c r="H61" i="5"/>
  <c r="H60" i="5"/>
  <c r="H59" i="5"/>
  <c r="H58" i="5"/>
  <c r="H57" i="5"/>
  <c r="H56" i="5"/>
  <c r="H55" i="5"/>
  <c r="H54" i="5"/>
  <c r="H53" i="5"/>
  <c r="H52" i="5"/>
  <c r="H51" i="5"/>
  <c r="H50" i="5"/>
  <c r="H49" i="5"/>
  <c r="H48" i="5"/>
  <c r="H47" i="5"/>
  <c r="H46" i="5"/>
  <c r="H45" i="5"/>
  <c r="H44" i="5"/>
  <c r="H43" i="5"/>
  <c r="H42" i="5"/>
  <c r="H41" i="5"/>
  <c r="H40" i="5"/>
  <c r="H39" i="5"/>
  <c r="H38" i="5"/>
  <c r="H37" i="5"/>
  <c r="H36" i="5"/>
  <c r="H35" i="5"/>
  <c r="H34" i="5"/>
  <c r="H33" i="5"/>
  <c r="H32" i="5"/>
  <c r="H31" i="5"/>
  <c r="H30" i="5"/>
  <c r="H29" i="5"/>
  <c r="H28" i="5"/>
  <c r="H27" i="5"/>
  <c r="H26" i="5"/>
  <c r="H25" i="5"/>
  <c r="H24" i="5"/>
  <c r="H23" i="5"/>
  <c r="H22" i="5"/>
  <c r="H21" i="5"/>
  <c r="H20" i="5"/>
  <c r="E20" i="5"/>
  <c r="N19" i="5"/>
  <c r="H19" i="5"/>
  <c r="F19" i="5"/>
  <c r="G19" i="5" s="1"/>
  <c r="N18" i="5"/>
  <c r="H18" i="5"/>
  <c r="N17" i="5"/>
  <c r="H17" i="5"/>
  <c r="N16" i="5"/>
  <c r="S16" i="5" s="1"/>
  <c r="H16" i="5"/>
  <c r="R15" i="5"/>
  <c r="N15" i="5"/>
  <c r="S15" i="5" s="1"/>
  <c r="H15" i="5"/>
  <c r="R14" i="5"/>
  <c r="N14" i="5"/>
  <c r="S14" i="5" s="1"/>
  <c r="H14" i="5"/>
  <c r="R13" i="5"/>
  <c r="N13" i="5"/>
  <c r="S13" i="5" s="1"/>
  <c r="H13" i="5"/>
  <c r="R12" i="5"/>
  <c r="N12" i="5"/>
  <c r="H12" i="5"/>
  <c r="R11" i="5"/>
  <c r="N11" i="5"/>
  <c r="S11" i="5" s="1"/>
  <c r="H11" i="5"/>
  <c r="R10" i="5"/>
  <c r="N10" i="5"/>
  <c r="S10" i="5" s="1"/>
  <c r="H10" i="5"/>
  <c r="R9" i="5"/>
  <c r="N9" i="5"/>
  <c r="S9" i="5" s="1"/>
  <c r="H9" i="5"/>
  <c r="R8" i="5"/>
  <c r="N8" i="5"/>
  <c r="S8" i="5" s="1"/>
  <c r="H8" i="5"/>
  <c r="R7" i="5"/>
  <c r="N7" i="5"/>
  <c r="S7" i="5" s="1"/>
  <c r="H7" i="5"/>
  <c r="R6" i="5"/>
  <c r="N6" i="5"/>
  <c r="S6" i="5" s="1"/>
  <c r="H6" i="5"/>
  <c r="W5" i="5"/>
  <c r="N5" i="5"/>
  <c r="H5" i="5"/>
  <c r="I4" i="5"/>
  <c r="H4" i="5"/>
  <c r="K4" i="5" s="1"/>
  <c r="S17" i="5" l="1"/>
  <c r="O20" i="5"/>
  <c r="F20" i="5"/>
  <c r="G20" i="5" s="1"/>
  <c r="E21" i="5"/>
  <c r="E22" i="5" s="1"/>
  <c r="R17" i="5"/>
  <c r="S18" i="5"/>
  <c r="S12" i="5"/>
  <c r="S19" i="5"/>
  <c r="S5" i="5"/>
  <c r="N21" i="5"/>
  <c r="F21" i="5"/>
  <c r="G21" i="5" s="1"/>
  <c r="O22" i="5" s="1"/>
  <c r="L4" i="5"/>
  <c r="P4" i="5" s="1"/>
  <c r="M4" i="5"/>
  <c r="E23" i="5"/>
  <c r="J4" i="5"/>
  <c r="N20" i="5"/>
  <c r="S20" i="5" s="1"/>
  <c r="R20" i="5"/>
  <c r="N69" i="2"/>
  <c r="H69" i="2"/>
  <c r="N68" i="2"/>
  <c r="H68" i="2"/>
  <c r="N67" i="2"/>
  <c r="H67" i="2"/>
  <c r="N66" i="2"/>
  <c r="H66" i="2"/>
  <c r="N65" i="2"/>
  <c r="H65" i="2"/>
  <c r="N64" i="2"/>
  <c r="H64" i="2"/>
  <c r="N63" i="2"/>
  <c r="H63" i="2"/>
  <c r="N62" i="2"/>
  <c r="H62" i="2"/>
  <c r="N61" i="2"/>
  <c r="H61" i="2"/>
  <c r="N60" i="2"/>
  <c r="H60" i="2"/>
  <c r="N59" i="2"/>
  <c r="H59" i="2"/>
  <c r="N58" i="2"/>
  <c r="H58" i="2"/>
  <c r="N57" i="2"/>
  <c r="H57" i="2"/>
  <c r="N56" i="2"/>
  <c r="H56" i="2"/>
  <c r="N55" i="2"/>
  <c r="H55" i="2"/>
  <c r="N54" i="2"/>
  <c r="H54" i="2"/>
  <c r="N53" i="2"/>
  <c r="H53" i="2"/>
  <c r="N52" i="2"/>
  <c r="H52" i="2"/>
  <c r="N51" i="2"/>
  <c r="H51" i="2"/>
  <c r="N50" i="2"/>
  <c r="H50" i="2"/>
  <c r="N49" i="2"/>
  <c r="H49" i="2"/>
  <c r="N48" i="2"/>
  <c r="H48" i="2"/>
  <c r="N47" i="2"/>
  <c r="H47" i="2"/>
  <c r="N46" i="2"/>
  <c r="H46" i="2"/>
  <c r="N45" i="2"/>
  <c r="H45" i="2"/>
  <c r="N44" i="2"/>
  <c r="H44" i="2"/>
  <c r="N43" i="2"/>
  <c r="H43" i="2"/>
  <c r="N42" i="2"/>
  <c r="H42" i="2"/>
  <c r="N41" i="2"/>
  <c r="H41" i="2"/>
  <c r="N40" i="2"/>
  <c r="H40" i="2"/>
  <c r="N39" i="2"/>
  <c r="H39" i="2"/>
  <c r="N38" i="2"/>
  <c r="H38" i="2"/>
  <c r="N37" i="2"/>
  <c r="H37" i="2"/>
  <c r="N36" i="2"/>
  <c r="H36" i="2"/>
  <c r="N35" i="2"/>
  <c r="H35" i="2"/>
  <c r="N34" i="2"/>
  <c r="H34" i="2"/>
  <c r="N33" i="2"/>
  <c r="H33" i="2"/>
  <c r="N32" i="2"/>
  <c r="H32" i="2"/>
  <c r="N31" i="2"/>
  <c r="H31" i="2"/>
  <c r="N30" i="2"/>
  <c r="H30" i="2"/>
  <c r="N29" i="2"/>
  <c r="H29" i="2"/>
  <c r="N28" i="2"/>
  <c r="H28" i="2"/>
  <c r="N27" i="2"/>
  <c r="H27" i="2"/>
  <c r="N26" i="2"/>
  <c r="H26" i="2"/>
  <c r="N25" i="2"/>
  <c r="H25" i="2"/>
  <c r="N24" i="2"/>
  <c r="H24" i="2"/>
  <c r="N23" i="2"/>
  <c r="H23" i="2"/>
  <c r="N22" i="2"/>
  <c r="H22" i="2"/>
  <c r="N21" i="2"/>
  <c r="H21" i="2"/>
  <c r="N20" i="2"/>
  <c r="H20" i="2"/>
  <c r="E20" i="2"/>
  <c r="O19" i="2"/>
  <c r="N19" i="2"/>
  <c r="H19" i="2"/>
  <c r="F19" i="2"/>
  <c r="G19" i="2" s="1"/>
  <c r="R18" i="2"/>
  <c r="O18" i="2"/>
  <c r="N18" i="2"/>
  <c r="S18" i="2" s="1"/>
  <c r="H18" i="2"/>
  <c r="R17" i="2"/>
  <c r="O17" i="2"/>
  <c r="N17" i="2"/>
  <c r="S17" i="2" s="1"/>
  <c r="H17" i="2"/>
  <c r="R16" i="2"/>
  <c r="O16" i="2"/>
  <c r="N16" i="2"/>
  <c r="S16" i="2" s="1"/>
  <c r="H16" i="2"/>
  <c r="R15" i="2"/>
  <c r="O15" i="2"/>
  <c r="N15" i="2"/>
  <c r="S15" i="2" s="1"/>
  <c r="H15" i="2"/>
  <c r="R14" i="2"/>
  <c r="O14" i="2"/>
  <c r="N14" i="2"/>
  <c r="S14" i="2" s="1"/>
  <c r="H14" i="2"/>
  <c r="R13" i="2"/>
  <c r="O13" i="2"/>
  <c r="N13" i="2"/>
  <c r="S13" i="2" s="1"/>
  <c r="H13" i="2"/>
  <c r="R12" i="2"/>
  <c r="O12" i="2"/>
  <c r="N12" i="2"/>
  <c r="S12" i="2" s="1"/>
  <c r="H12" i="2"/>
  <c r="R11" i="2"/>
  <c r="O11" i="2"/>
  <c r="N11" i="2"/>
  <c r="S11" i="2" s="1"/>
  <c r="H11" i="2"/>
  <c r="R10" i="2"/>
  <c r="O10" i="2"/>
  <c r="N10" i="2"/>
  <c r="S10" i="2" s="1"/>
  <c r="H10" i="2"/>
  <c r="R9" i="2"/>
  <c r="O9" i="2"/>
  <c r="N9" i="2"/>
  <c r="S9" i="2" s="1"/>
  <c r="H9" i="2"/>
  <c r="R8" i="2"/>
  <c r="O8" i="2"/>
  <c r="N8" i="2"/>
  <c r="S8" i="2" s="1"/>
  <c r="H8" i="2"/>
  <c r="R7" i="2"/>
  <c r="O7" i="2"/>
  <c r="N7" i="2"/>
  <c r="S7" i="2" s="1"/>
  <c r="H7" i="2"/>
  <c r="R6" i="2"/>
  <c r="O6" i="2"/>
  <c r="N6" i="2"/>
  <c r="S6" i="2" s="1"/>
  <c r="H6" i="2"/>
  <c r="R5" i="2"/>
  <c r="O5" i="2"/>
  <c r="N5" i="2"/>
  <c r="S5" i="2" s="1"/>
  <c r="H5" i="2"/>
  <c r="I4" i="2"/>
  <c r="H4" i="2"/>
  <c r="K4" i="2" l="1"/>
  <c r="L4" i="2" s="1"/>
  <c r="F20" i="2"/>
  <c r="O21" i="5"/>
  <c r="R21" i="5" s="1"/>
  <c r="G20" i="2"/>
  <c r="O20" i="2"/>
  <c r="R20" i="2" s="1"/>
  <c r="S19" i="2"/>
  <c r="Q4" i="5"/>
  <c r="I5" i="5"/>
  <c r="E24" i="5"/>
  <c r="N22" i="5"/>
  <c r="S22" i="5" s="1"/>
  <c r="F22" i="5"/>
  <c r="G22" i="5" s="1"/>
  <c r="O23" i="5" s="1"/>
  <c r="M4" i="2"/>
  <c r="P4" i="2" s="1"/>
  <c r="J4" i="2"/>
  <c r="R19" i="2"/>
  <c r="S20" i="2"/>
  <c r="E21" i="2"/>
  <c r="F21" i="2" s="1"/>
  <c r="S21" i="5" l="1"/>
  <c r="F23" i="5"/>
  <c r="G23" i="5" s="1"/>
  <c r="O24" i="5" s="1"/>
  <c r="N23" i="5"/>
  <c r="S23" i="5" s="1"/>
  <c r="R22" i="5"/>
  <c r="K5" i="5"/>
  <c r="J5" i="5"/>
  <c r="E25" i="5"/>
  <c r="Q4" i="2"/>
  <c r="I5" i="2"/>
  <c r="G21" i="2"/>
  <c r="E22" i="2"/>
  <c r="O21" i="2"/>
  <c r="R23" i="5" l="1"/>
  <c r="M5" i="5"/>
  <c r="L5" i="5"/>
  <c r="E26" i="5"/>
  <c r="N24" i="5"/>
  <c r="F24" i="5"/>
  <c r="G24" i="5" s="1"/>
  <c r="O25" i="5" s="1"/>
  <c r="F22" i="2"/>
  <c r="O22" i="2"/>
  <c r="R21" i="2"/>
  <c r="S21" i="2"/>
  <c r="J5" i="2"/>
  <c r="K5" i="2"/>
  <c r="E23" i="2"/>
  <c r="G22" i="2"/>
  <c r="S24" i="5" l="1"/>
  <c r="P5" i="5"/>
  <c r="I6" i="5" s="1"/>
  <c r="R24" i="5"/>
  <c r="N25" i="5"/>
  <c r="F25" i="5"/>
  <c r="G25" i="5" s="1"/>
  <c r="O26" i="5" s="1"/>
  <c r="E27" i="5"/>
  <c r="F23" i="2"/>
  <c r="O23" i="2"/>
  <c r="L5" i="2"/>
  <c r="M5" i="2"/>
  <c r="R22" i="2"/>
  <c r="S22" i="2"/>
  <c r="E24" i="2"/>
  <c r="G23" i="2"/>
  <c r="Q5" i="5" l="1"/>
  <c r="S25" i="5"/>
  <c r="P5" i="2"/>
  <c r="F26" i="5"/>
  <c r="G26" i="5" s="1"/>
  <c r="O27" i="5" s="1"/>
  <c r="N26" i="5"/>
  <c r="R25" i="5"/>
  <c r="K6" i="5"/>
  <c r="J6" i="5"/>
  <c r="E28" i="5"/>
  <c r="I6" i="2"/>
  <c r="Q5" i="2"/>
  <c r="F24" i="2"/>
  <c r="G24" i="2" s="1"/>
  <c r="O24" i="2"/>
  <c r="R23" i="2"/>
  <c r="S23" i="2"/>
  <c r="E25" i="2"/>
  <c r="S26" i="5" l="1"/>
  <c r="R26" i="5"/>
  <c r="E29" i="5"/>
  <c r="L6" i="5"/>
  <c r="M6" i="5"/>
  <c r="N27" i="5"/>
  <c r="F27" i="5"/>
  <c r="G27" i="5" s="1"/>
  <c r="O28" i="5" s="1"/>
  <c r="O25" i="2"/>
  <c r="F25" i="2"/>
  <c r="G25" i="2" s="1"/>
  <c r="E26" i="2"/>
  <c r="R24" i="2"/>
  <c r="S24" i="2"/>
  <c r="K6" i="2"/>
  <c r="J6" i="2"/>
  <c r="S27" i="5" l="1"/>
  <c r="P6" i="5"/>
  <c r="I7" i="5" s="1"/>
  <c r="R27" i="5"/>
  <c r="N28" i="5"/>
  <c r="F28" i="5"/>
  <c r="G28" i="5" s="1"/>
  <c r="O29" i="5" s="1"/>
  <c r="E30" i="5"/>
  <c r="E27" i="2"/>
  <c r="O26" i="2"/>
  <c r="F26" i="2"/>
  <c r="G26" i="2" s="1"/>
  <c r="L6" i="2"/>
  <c r="M6" i="2"/>
  <c r="R25" i="2"/>
  <c r="S25" i="2"/>
  <c r="Q6" i="5" l="1"/>
  <c r="P6" i="2"/>
  <c r="S28" i="5"/>
  <c r="E31" i="5"/>
  <c r="R28" i="5"/>
  <c r="K7" i="5"/>
  <c r="J7" i="5"/>
  <c r="N29" i="5"/>
  <c r="F29" i="5"/>
  <c r="G29" i="5" s="1"/>
  <c r="O30" i="5" s="1"/>
  <c r="I7" i="2"/>
  <c r="Q6" i="2"/>
  <c r="R26" i="2"/>
  <c r="S26" i="2"/>
  <c r="O27" i="2"/>
  <c r="F27" i="2"/>
  <c r="G27" i="2" s="1"/>
  <c r="E28" i="2"/>
  <c r="R29" i="5" l="1"/>
  <c r="S29" i="5"/>
  <c r="M7" i="5"/>
  <c r="L7" i="5"/>
  <c r="N30" i="5"/>
  <c r="F30" i="5"/>
  <c r="G30" i="5" s="1"/>
  <c r="O31" i="5" s="1"/>
  <c r="E32" i="5"/>
  <c r="F28" i="2"/>
  <c r="O28" i="2"/>
  <c r="E29" i="2"/>
  <c r="G28" i="2"/>
  <c r="R27" i="2"/>
  <c r="S27" i="2"/>
  <c r="J7" i="2"/>
  <c r="K7" i="2"/>
  <c r="P7" i="5" l="1"/>
  <c r="S30" i="5"/>
  <c r="I8" i="5"/>
  <c r="Q7" i="5"/>
  <c r="R30" i="5"/>
  <c r="E33" i="5"/>
  <c r="F31" i="5"/>
  <c r="G31" i="5" s="1"/>
  <c r="O32" i="5" s="1"/>
  <c r="N31" i="5"/>
  <c r="S31" i="5" s="1"/>
  <c r="E30" i="2"/>
  <c r="R28" i="2"/>
  <c r="S28" i="2"/>
  <c r="M7" i="2"/>
  <c r="L7" i="2"/>
  <c r="P7" i="2" s="1"/>
  <c r="O29" i="2"/>
  <c r="F29" i="2"/>
  <c r="G29" i="2" s="1"/>
  <c r="R31" i="5" l="1"/>
  <c r="E34" i="5"/>
  <c r="N32" i="5"/>
  <c r="F32" i="5"/>
  <c r="G32" i="5" s="1"/>
  <c r="O33" i="5" s="1"/>
  <c r="K8" i="5"/>
  <c r="J8" i="5"/>
  <c r="O30" i="2"/>
  <c r="F30" i="2"/>
  <c r="G30" i="2" s="1"/>
  <c r="Q7" i="2"/>
  <c r="I8" i="2"/>
  <c r="E31" i="2"/>
  <c r="R29" i="2"/>
  <c r="S29" i="2"/>
  <c r="R32" i="5" l="1"/>
  <c r="S32" i="5"/>
  <c r="L8" i="5"/>
  <c r="M8" i="5"/>
  <c r="N33" i="5"/>
  <c r="F33" i="5"/>
  <c r="G33" i="5" s="1"/>
  <c r="O34" i="5" s="1"/>
  <c r="E35" i="5"/>
  <c r="F31" i="2"/>
  <c r="O31" i="2"/>
  <c r="K8" i="2"/>
  <c r="J8" i="2"/>
  <c r="E32" i="2"/>
  <c r="G31" i="2"/>
  <c r="R30" i="2"/>
  <c r="S30" i="2"/>
  <c r="S33" i="5" l="1"/>
  <c r="P8" i="5"/>
  <c r="I9" i="5" s="1"/>
  <c r="E36" i="5"/>
  <c r="F34" i="5"/>
  <c r="G34" i="5" s="1"/>
  <c r="O35" i="5" s="1"/>
  <c r="N34" i="5"/>
  <c r="S34" i="5" s="1"/>
  <c r="R34" i="5"/>
  <c r="R33" i="5"/>
  <c r="L8" i="2"/>
  <c r="M8" i="2"/>
  <c r="R31" i="2"/>
  <c r="S31" i="2"/>
  <c r="F32" i="2"/>
  <c r="G32" i="2" s="1"/>
  <c r="O32" i="2"/>
  <c r="E33" i="2"/>
  <c r="Q8" i="5" l="1"/>
  <c r="P8" i="2"/>
  <c r="N35" i="5"/>
  <c r="F35" i="5"/>
  <c r="G35" i="5" s="1"/>
  <c r="O36" i="5" s="1"/>
  <c r="E37" i="5"/>
  <c r="J9" i="5"/>
  <c r="K9" i="5"/>
  <c r="O33" i="2"/>
  <c r="F33" i="2"/>
  <c r="I9" i="2"/>
  <c r="Q8" i="2"/>
  <c r="R32" i="2"/>
  <c r="S32" i="2"/>
  <c r="G33" i="2"/>
  <c r="E34" i="2"/>
  <c r="S35" i="5" l="1"/>
  <c r="M9" i="5"/>
  <c r="L9" i="5"/>
  <c r="P9" i="5" s="1"/>
  <c r="E38" i="5"/>
  <c r="N36" i="5"/>
  <c r="F36" i="5"/>
  <c r="G36" i="5" s="1"/>
  <c r="O37" i="5" s="1"/>
  <c r="R35" i="5"/>
  <c r="O34" i="2"/>
  <c r="F34" i="2"/>
  <c r="G34" i="2" s="1"/>
  <c r="J9" i="2"/>
  <c r="K9" i="2"/>
  <c r="E35" i="2"/>
  <c r="R33" i="2"/>
  <c r="S33" i="2"/>
  <c r="S36" i="5" l="1"/>
  <c r="I10" i="5"/>
  <c r="Q9" i="5"/>
  <c r="N37" i="5"/>
  <c r="F37" i="5"/>
  <c r="G37" i="5" s="1"/>
  <c r="O38" i="5" s="1"/>
  <c r="R36" i="5"/>
  <c r="F35" i="2"/>
  <c r="O35" i="2"/>
  <c r="M9" i="2"/>
  <c r="L9" i="2"/>
  <c r="P9" i="2" s="1"/>
  <c r="G35" i="2"/>
  <c r="E36" i="2"/>
  <c r="R34" i="2"/>
  <c r="S34" i="2"/>
  <c r="R37" i="5" l="1"/>
  <c r="N38" i="5"/>
  <c r="F38" i="5"/>
  <c r="G38" i="5" s="1"/>
  <c r="O39" i="5" s="1"/>
  <c r="S37" i="5"/>
  <c r="K10" i="5"/>
  <c r="J10" i="5"/>
  <c r="Q9" i="2"/>
  <c r="I10" i="2"/>
  <c r="E37" i="2"/>
  <c r="F36" i="2"/>
  <c r="G36" i="2" s="1"/>
  <c r="O36" i="2"/>
  <c r="R35" i="2"/>
  <c r="S35" i="2"/>
  <c r="S38" i="5" l="1"/>
  <c r="M10" i="5"/>
  <c r="L10" i="5"/>
  <c r="P10" i="5" s="1"/>
  <c r="F39" i="5"/>
  <c r="G39" i="5" s="1"/>
  <c r="O40" i="5" s="1"/>
  <c r="N39" i="5"/>
  <c r="S39" i="5" s="1"/>
  <c r="R38" i="5"/>
  <c r="R36" i="2"/>
  <c r="S36" i="2"/>
  <c r="K10" i="2"/>
  <c r="J10" i="2"/>
  <c r="O37" i="2"/>
  <c r="F37" i="2"/>
  <c r="G37" i="2" s="1"/>
  <c r="E38" i="2"/>
  <c r="R39" i="5" l="1"/>
  <c r="I11" i="5"/>
  <c r="Q10" i="5"/>
  <c r="N40" i="5"/>
  <c r="F40" i="5"/>
  <c r="G40" i="5" s="1"/>
  <c r="O41" i="5" s="1"/>
  <c r="L10" i="2"/>
  <c r="M10" i="2"/>
  <c r="F38" i="2"/>
  <c r="G38" i="2" s="1"/>
  <c r="O38" i="2"/>
  <c r="R37" i="2"/>
  <c r="S37" i="2"/>
  <c r="S40" i="5" l="1"/>
  <c r="P10" i="2"/>
  <c r="N41" i="5"/>
  <c r="F41" i="5"/>
  <c r="G41" i="5" s="1"/>
  <c r="O42" i="5" s="1"/>
  <c r="R40" i="5"/>
  <c r="K11" i="5"/>
  <c r="J11" i="5"/>
  <c r="F39" i="2"/>
  <c r="G39" i="2" s="1"/>
  <c r="O39" i="2"/>
  <c r="I11" i="2"/>
  <c r="Q10" i="2"/>
  <c r="R38" i="2"/>
  <c r="S38" i="2"/>
  <c r="S41" i="5" l="1"/>
  <c r="M11" i="5"/>
  <c r="L11" i="5"/>
  <c r="N42" i="5"/>
  <c r="F42" i="5"/>
  <c r="G42" i="5" s="1"/>
  <c r="O43" i="5" s="1"/>
  <c r="R41" i="5"/>
  <c r="R39" i="2"/>
  <c r="S39" i="2"/>
  <c r="K11" i="2"/>
  <c r="J11" i="2"/>
  <c r="F40" i="2"/>
  <c r="G40" i="2" s="1"/>
  <c r="O40" i="2"/>
  <c r="P11" i="5" l="1"/>
  <c r="S42" i="5"/>
  <c r="I12" i="5"/>
  <c r="Q11" i="5"/>
  <c r="R42" i="5"/>
  <c r="N43" i="5"/>
  <c r="F43" i="5"/>
  <c r="G43" i="5" s="1"/>
  <c r="O44" i="5" s="1"/>
  <c r="L11" i="2"/>
  <c r="M11" i="2"/>
  <c r="R40" i="2"/>
  <c r="S40" i="2"/>
  <c r="F41" i="2"/>
  <c r="G41" i="2" s="1"/>
  <c r="O41" i="2"/>
  <c r="S43" i="5" l="1"/>
  <c r="P11" i="2"/>
  <c r="F44" i="5"/>
  <c r="G44" i="5" s="1"/>
  <c r="O45" i="5" s="1"/>
  <c r="N44" i="5"/>
  <c r="S44" i="5" s="1"/>
  <c r="R44" i="5"/>
  <c r="R43" i="5"/>
  <c r="K12" i="5"/>
  <c r="J12" i="5"/>
  <c r="I12" i="2"/>
  <c r="Q11" i="2"/>
  <c r="R41" i="2"/>
  <c r="S41" i="2"/>
  <c r="O42" i="2"/>
  <c r="F42" i="2"/>
  <c r="G42" i="2" s="1"/>
  <c r="L12" i="5" l="1"/>
  <c r="M12" i="5"/>
  <c r="N45" i="5"/>
  <c r="F45" i="5"/>
  <c r="G45" i="5" s="1"/>
  <c r="O46" i="5" s="1"/>
  <c r="F43" i="2"/>
  <c r="G43" i="2" s="1"/>
  <c r="O43" i="2"/>
  <c r="R42" i="2"/>
  <c r="S42" i="2"/>
  <c r="J12" i="2"/>
  <c r="K12" i="2"/>
  <c r="S45" i="5" l="1"/>
  <c r="P12" i="5"/>
  <c r="I13" i="5" s="1"/>
  <c r="Q12" i="5"/>
  <c r="F46" i="5"/>
  <c r="G46" i="5" s="1"/>
  <c r="O47" i="5" s="1"/>
  <c r="N46" i="5"/>
  <c r="S46" i="5" s="1"/>
  <c r="R46" i="5"/>
  <c r="R45" i="5"/>
  <c r="L12" i="2"/>
  <c r="M12" i="2"/>
  <c r="R43" i="2"/>
  <c r="S43" i="2"/>
  <c r="O44" i="2"/>
  <c r="F44" i="2"/>
  <c r="G44" i="2" s="1"/>
  <c r="P12" i="2" l="1"/>
  <c r="N47" i="5"/>
  <c r="F47" i="5"/>
  <c r="G47" i="5" s="1"/>
  <c r="O48" i="5" s="1"/>
  <c r="J13" i="5"/>
  <c r="K13" i="5"/>
  <c r="I13" i="2"/>
  <c r="Q12" i="2"/>
  <c r="F45" i="2"/>
  <c r="G45" i="2" s="1"/>
  <c r="O45" i="2"/>
  <c r="R44" i="2"/>
  <c r="S44" i="2"/>
  <c r="M13" i="5" l="1"/>
  <c r="L13" i="5"/>
  <c r="P13" i="5" s="1"/>
  <c r="S47" i="5"/>
  <c r="N48" i="5"/>
  <c r="F48" i="5"/>
  <c r="G48" i="5" s="1"/>
  <c r="O49" i="5" s="1"/>
  <c r="R47" i="5"/>
  <c r="O46" i="2"/>
  <c r="F46" i="2"/>
  <c r="G46" i="2" s="1"/>
  <c r="R45" i="2"/>
  <c r="S45" i="2"/>
  <c r="J13" i="2"/>
  <c r="K13" i="2"/>
  <c r="S48" i="5" l="1"/>
  <c r="I14" i="5"/>
  <c r="Q13" i="5"/>
  <c r="F49" i="5"/>
  <c r="G49" i="5" s="1"/>
  <c r="O50" i="5" s="1"/>
  <c r="N49" i="5"/>
  <c r="S49" i="5" s="1"/>
  <c r="R49" i="5"/>
  <c r="R48" i="5"/>
  <c r="O47" i="2"/>
  <c r="F47" i="2"/>
  <c r="G47" i="2" s="1"/>
  <c r="L13" i="2"/>
  <c r="M13" i="2"/>
  <c r="P13" i="2" s="1"/>
  <c r="R46" i="2"/>
  <c r="S46" i="2"/>
  <c r="N50" i="5" l="1"/>
  <c r="F50" i="5"/>
  <c r="G50" i="5" s="1"/>
  <c r="O51" i="5" s="1"/>
  <c r="K14" i="5"/>
  <c r="J14" i="5"/>
  <c r="Q13" i="2"/>
  <c r="I14" i="2"/>
  <c r="O48" i="2"/>
  <c r="F48" i="2"/>
  <c r="G48" i="2" s="1"/>
  <c r="R47" i="2"/>
  <c r="S47" i="2"/>
  <c r="S50" i="5" l="1"/>
  <c r="M14" i="5"/>
  <c r="L14" i="5"/>
  <c r="F51" i="5"/>
  <c r="G51" i="5" s="1"/>
  <c r="O52" i="5" s="1"/>
  <c r="N51" i="5"/>
  <c r="S51" i="5" s="1"/>
  <c r="R50" i="5"/>
  <c r="R48" i="2"/>
  <c r="S48" i="2"/>
  <c r="J14" i="2"/>
  <c r="K14" i="2"/>
  <c r="O49" i="2"/>
  <c r="F49" i="2"/>
  <c r="G49" i="2" s="1"/>
  <c r="P14" i="5" l="1"/>
  <c r="R51" i="5"/>
  <c r="I15" i="5"/>
  <c r="Q14" i="5"/>
  <c r="N52" i="5"/>
  <c r="F52" i="5"/>
  <c r="G52" i="5" s="1"/>
  <c r="O53" i="5" s="1"/>
  <c r="O50" i="2"/>
  <c r="F50" i="2"/>
  <c r="G50" i="2" s="1"/>
  <c r="L14" i="2"/>
  <c r="M14" i="2"/>
  <c r="P14" i="2" s="1"/>
  <c r="R49" i="2"/>
  <c r="S49" i="2"/>
  <c r="S52" i="5" l="1"/>
  <c r="N53" i="5"/>
  <c r="F53" i="5"/>
  <c r="G53" i="5" s="1"/>
  <c r="O54" i="5" s="1"/>
  <c r="R52" i="5"/>
  <c r="J15" i="5"/>
  <c r="K15" i="5"/>
  <c r="I15" i="2"/>
  <c r="Q14" i="2"/>
  <c r="O51" i="2"/>
  <c r="F51" i="2"/>
  <c r="G51" i="2" s="1"/>
  <c r="R50" i="2"/>
  <c r="S50" i="2"/>
  <c r="M15" i="5" l="1"/>
  <c r="L15" i="5"/>
  <c r="P15" i="5" s="1"/>
  <c r="N54" i="5"/>
  <c r="F54" i="5"/>
  <c r="G54" i="5" s="1"/>
  <c r="O55" i="5" s="1"/>
  <c r="R53" i="5"/>
  <c r="S53" i="5"/>
  <c r="R51" i="2"/>
  <c r="S51" i="2"/>
  <c r="F52" i="2"/>
  <c r="G52" i="2" s="1"/>
  <c r="O52" i="2"/>
  <c r="J15" i="2"/>
  <c r="K15" i="2"/>
  <c r="S54" i="5" l="1"/>
  <c r="I16" i="5"/>
  <c r="Q15" i="5"/>
  <c r="R54" i="5"/>
  <c r="N55" i="5"/>
  <c r="F55" i="5"/>
  <c r="G55" i="5" s="1"/>
  <c r="O56" i="5" s="1"/>
  <c r="L15" i="2"/>
  <c r="M15" i="2"/>
  <c r="P15" i="2" s="1"/>
  <c r="O53" i="2"/>
  <c r="F53" i="2"/>
  <c r="G53" i="2" s="1"/>
  <c r="S52" i="2"/>
  <c r="R52" i="2"/>
  <c r="S55" i="5" l="1"/>
  <c r="F56" i="5"/>
  <c r="G56" i="5" s="1"/>
  <c r="O57" i="5" s="1"/>
  <c r="N56" i="5"/>
  <c r="S56" i="5" s="1"/>
  <c r="R55" i="5"/>
  <c r="K16" i="5"/>
  <c r="J16" i="5"/>
  <c r="I16" i="2"/>
  <c r="Q15" i="2"/>
  <c r="R53" i="2"/>
  <c r="S53" i="2"/>
  <c r="O54" i="2"/>
  <c r="F54" i="2"/>
  <c r="G54" i="2" s="1"/>
  <c r="R56" i="5" l="1"/>
  <c r="M16" i="5"/>
  <c r="L16" i="5"/>
  <c r="P16" i="5" s="1"/>
  <c r="N57" i="5"/>
  <c r="F57" i="5"/>
  <c r="G57" i="5" s="1"/>
  <c r="O58" i="5" s="1"/>
  <c r="O55" i="2"/>
  <c r="F55" i="2"/>
  <c r="G55" i="2" s="1"/>
  <c r="R54" i="2"/>
  <c r="S54" i="2"/>
  <c r="K16" i="2"/>
  <c r="J16" i="2"/>
  <c r="S57" i="5" l="1"/>
  <c r="I17" i="5"/>
  <c r="Q16" i="5"/>
  <c r="F58" i="5"/>
  <c r="G58" i="5" s="1"/>
  <c r="O59" i="5" s="1"/>
  <c r="N58" i="5"/>
  <c r="S58" i="5" s="1"/>
  <c r="R58" i="5"/>
  <c r="R57" i="5"/>
  <c r="L16" i="2"/>
  <c r="M16" i="2"/>
  <c r="F56" i="2"/>
  <c r="G56" i="2" s="1"/>
  <c r="O56" i="2"/>
  <c r="R55" i="2"/>
  <c r="S55" i="2"/>
  <c r="P16" i="2" l="1"/>
  <c r="N59" i="5"/>
  <c r="F59" i="5"/>
  <c r="G59" i="5" s="1"/>
  <c r="O60" i="5" s="1"/>
  <c r="K17" i="5"/>
  <c r="J17" i="5"/>
  <c r="I17" i="2"/>
  <c r="Q16" i="2"/>
  <c r="O57" i="2"/>
  <c r="F57" i="2"/>
  <c r="G57" i="2" s="1"/>
  <c r="R56" i="2"/>
  <c r="S56" i="2"/>
  <c r="N60" i="5" l="1"/>
  <c r="F60" i="5"/>
  <c r="G60" i="5" s="1"/>
  <c r="O61" i="5" s="1"/>
  <c r="R59" i="5"/>
  <c r="M17" i="5"/>
  <c r="L17" i="5"/>
  <c r="S59" i="5"/>
  <c r="R57" i="2"/>
  <c r="S57" i="2"/>
  <c r="O58" i="2"/>
  <c r="F58" i="2"/>
  <c r="G58" i="2" s="1"/>
  <c r="K17" i="2"/>
  <c r="J17" i="2"/>
  <c r="P17" i="5" l="1"/>
  <c r="S60" i="5"/>
  <c r="I18" i="5"/>
  <c r="Q17" i="5"/>
  <c r="F61" i="5"/>
  <c r="G61" i="5" s="1"/>
  <c r="O62" i="5" s="1"/>
  <c r="N61" i="5"/>
  <c r="S61" i="5" s="1"/>
  <c r="R60" i="5"/>
  <c r="R58" i="2"/>
  <c r="S58" i="2"/>
  <c r="M17" i="2"/>
  <c r="L17" i="2"/>
  <c r="O59" i="2"/>
  <c r="F59" i="2"/>
  <c r="G59" i="2" s="1"/>
  <c r="P17" i="2" l="1"/>
  <c r="R61" i="5"/>
  <c r="N62" i="5"/>
  <c r="F62" i="5"/>
  <c r="G62" i="5" s="1"/>
  <c r="O63" i="5" s="1"/>
  <c r="K18" i="5"/>
  <c r="J18" i="5"/>
  <c r="Q17" i="2"/>
  <c r="I18" i="2"/>
  <c r="R59" i="2"/>
  <c r="S59" i="2"/>
  <c r="F60" i="2"/>
  <c r="G60" i="2" s="1"/>
  <c r="O60" i="2"/>
  <c r="S62" i="5" l="1"/>
  <c r="L18" i="5"/>
  <c r="M18" i="5"/>
  <c r="F63" i="5"/>
  <c r="G63" i="5" s="1"/>
  <c r="O64" i="5" s="1"/>
  <c r="N63" i="5"/>
  <c r="S63" i="5" s="1"/>
  <c r="R62" i="5"/>
  <c r="S60" i="2"/>
  <c r="R60" i="2"/>
  <c r="K18" i="2"/>
  <c r="J18" i="2"/>
  <c r="O61" i="2"/>
  <c r="F61" i="2"/>
  <c r="G61" i="2" s="1"/>
  <c r="R63" i="5" l="1"/>
  <c r="P18" i="5"/>
  <c r="I19" i="5"/>
  <c r="Q18" i="5"/>
  <c r="N64" i="5"/>
  <c r="F64" i="5"/>
  <c r="G64" i="5" s="1"/>
  <c r="O65" i="5" s="1"/>
  <c r="L18" i="2"/>
  <c r="M18" i="2"/>
  <c r="O62" i="2"/>
  <c r="F62" i="2"/>
  <c r="G62" i="2" s="1"/>
  <c r="R61" i="2"/>
  <c r="S61" i="2"/>
  <c r="P18" i="2" l="1"/>
  <c r="N65" i="5"/>
  <c r="F65" i="5"/>
  <c r="G65" i="5" s="1"/>
  <c r="O66" i="5" s="1"/>
  <c r="R64" i="5"/>
  <c r="S64" i="5"/>
  <c r="K19" i="5"/>
  <c r="J19" i="5"/>
  <c r="I19" i="2"/>
  <c r="Q18" i="2"/>
  <c r="S62" i="2"/>
  <c r="R62" i="2"/>
  <c r="O63" i="2"/>
  <c r="F63" i="2"/>
  <c r="G63" i="2" s="1"/>
  <c r="M19" i="5" l="1"/>
  <c r="L19" i="5"/>
  <c r="N66" i="5"/>
  <c r="F66" i="5"/>
  <c r="G66" i="5" s="1"/>
  <c r="O67" i="5" s="1"/>
  <c r="R65" i="5"/>
  <c r="S65" i="5"/>
  <c r="F64" i="2"/>
  <c r="G64" i="2" s="1"/>
  <c r="O64" i="2"/>
  <c r="R63" i="2"/>
  <c r="S63" i="2"/>
  <c r="J19" i="2"/>
  <c r="K19" i="2"/>
  <c r="P19" i="5" l="1"/>
  <c r="I20" i="5" s="1"/>
  <c r="N67" i="5"/>
  <c r="F67" i="5"/>
  <c r="G67" i="5" s="1"/>
  <c r="O68" i="5" s="1"/>
  <c r="S66" i="5"/>
  <c r="R66" i="5"/>
  <c r="M19" i="2"/>
  <c r="L19" i="2"/>
  <c r="R64" i="2"/>
  <c r="S64" i="2"/>
  <c r="O65" i="2"/>
  <c r="F65" i="2"/>
  <c r="G65" i="2" s="1"/>
  <c r="Q19" i="5" l="1"/>
  <c r="P19" i="2"/>
  <c r="J20" i="5"/>
  <c r="K20" i="5"/>
  <c r="S67" i="5"/>
  <c r="F68" i="5"/>
  <c r="G68" i="5" s="1"/>
  <c r="O69" i="5" s="1"/>
  <c r="N68" i="5"/>
  <c r="S68" i="5" s="1"/>
  <c r="R67" i="5"/>
  <c r="Q19" i="2"/>
  <c r="I20" i="2"/>
  <c r="F66" i="2"/>
  <c r="G66" i="2" s="1"/>
  <c r="O66" i="2"/>
  <c r="R65" i="2"/>
  <c r="S65" i="2"/>
  <c r="R68" i="5" l="1"/>
  <c r="N69" i="5"/>
  <c r="F69" i="5"/>
  <c r="G69" i="5" s="1"/>
  <c r="M20" i="5"/>
  <c r="L20" i="5"/>
  <c r="R66" i="2"/>
  <c r="S66" i="2"/>
  <c r="O67" i="2"/>
  <c r="F67" i="2"/>
  <c r="G67" i="2" s="1"/>
  <c r="K20" i="2"/>
  <c r="J20" i="2"/>
  <c r="P20" i="5" l="1"/>
  <c r="S69" i="5"/>
  <c r="I21" i="5"/>
  <c r="Q20" i="5"/>
  <c r="R69" i="5"/>
  <c r="R67" i="2"/>
  <c r="S67" i="2"/>
  <c r="M20" i="2"/>
  <c r="L20" i="2"/>
  <c r="F68" i="2"/>
  <c r="G68" i="2" s="1"/>
  <c r="O68" i="2"/>
  <c r="P20" i="2" l="1"/>
  <c r="Q20" i="2" s="1"/>
  <c r="K21" i="5"/>
  <c r="J21" i="5"/>
  <c r="I21" i="2"/>
  <c r="S68" i="2"/>
  <c r="R68" i="2"/>
  <c r="O69" i="2"/>
  <c r="F69" i="2"/>
  <c r="G69" i="2" s="1"/>
  <c r="L21" i="5" l="1"/>
  <c r="M21" i="5"/>
  <c r="P21" i="5" s="1"/>
  <c r="K21" i="2"/>
  <c r="J21" i="2"/>
  <c r="R69" i="2"/>
  <c r="S69" i="2"/>
  <c r="I22" i="5" l="1"/>
  <c r="Q21" i="5"/>
  <c r="M21" i="2"/>
  <c r="L21" i="2"/>
  <c r="P21" i="2" s="1"/>
  <c r="K22" i="5" l="1"/>
  <c r="J22" i="5"/>
  <c r="Q21" i="2"/>
  <c r="I22" i="2"/>
  <c r="M22" i="5" l="1"/>
  <c r="L22" i="5"/>
  <c r="P22" i="5" s="1"/>
  <c r="K22" i="2"/>
  <c r="J22" i="2"/>
  <c r="Q22" i="5" l="1"/>
  <c r="I23" i="5"/>
  <c r="L22" i="2"/>
  <c r="M22" i="2"/>
  <c r="P22" i="2" l="1"/>
  <c r="I23" i="2" s="1"/>
  <c r="K23" i="5"/>
  <c r="J23" i="5"/>
  <c r="Q22" i="2"/>
  <c r="L23" i="5" l="1"/>
  <c r="M23" i="5"/>
  <c r="K23" i="2"/>
  <c r="J23" i="2"/>
  <c r="P23" i="5" l="1"/>
  <c r="I24" i="5"/>
  <c r="Q23" i="5"/>
  <c r="M23" i="2"/>
  <c r="L23" i="2"/>
  <c r="P23" i="2" l="1"/>
  <c r="Q23" i="2" s="1"/>
  <c r="K24" i="5"/>
  <c r="J24" i="5"/>
  <c r="I24" i="2" l="1"/>
  <c r="K24" i="2" s="1"/>
  <c r="L24" i="5"/>
  <c r="M24" i="5"/>
  <c r="J24" i="2"/>
  <c r="P24" i="5" l="1"/>
  <c r="Q24" i="5"/>
  <c r="I25" i="5"/>
  <c r="L24" i="2"/>
  <c r="M24" i="2"/>
  <c r="P24" i="2" l="1"/>
  <c r="I25" i="2" s="1"/>
  <c r="K25" i="5"/>
  <c r="J25" i="5"/>
  <c r="Q24" i="2"/>
  <c r="L25" i="5" l="1"/>
  <c r="M25" i="5"/>
  <c r="K25" i="2"/>
  <c r="J25" i="2"/>
  <c r="P25" i="5" l="1"/>
  <c r="I26" i="5" s="1"/>
  <c r="L25" i="2"/>
  <c r="M25" i="2"/>
  <c r="Q25" i="5" l="1"/>
  <c r="P25" i="2"/>
  <c r="I26" i="2" s="1"/>
  <c r="K26" i="5"/>
  <c r="J26" i="5"/>
  <c r="Q25" i="2"/>
  <c r="M26" i="5" l="1"/>
  <c r="L26" i="5"/>
  <c r="P26" i="5" s="1"/>
  <c r="K26" i="2"/>
  <c r="J26" i="2"/>
  <c r="I27" i="5" l="1"/>
  <c r="Q26" i="5"/>
  <c r="L26" i="2"/>
  <c r="M26" i="2"/>
  <c r="P26" i="2" l="1"/>
  <c r="I27" i="2" s="1"/>
  <c r="K27" i="5"/>
  <c r="J27" i="5"/>
  <c r="Q26" i="2"/>
  <c r="M27" i="5" l="1"/>
  <c r="L27" i="5"/>
  <c r="P27" i="5" s="1"/>
  <c r="K27" i="2"/>
  <c r="J27" i="2"/>
  <c r="Q27" i="5" l="1"/>
  <c r="I28" i="5"/>
  <c r="M27" i="2"/>
  <c r="L27" i="2"/>
  <c r="P27" i="2" l="1"/>
  <c r="Q27" i="2" s="1"/>
  <c r="K28" i="5"/>
  <c r="J28" i="5"/>
  <c r="I28" i="2" l="1"/>
  <c r="K28" i="2" s="1"/>
  <c r="M28" i="5"/>
  <c r="L28" i="5"/>
  <c r="P28" i="5" s="1"/>
  <c r="J28" i="2"/>
  <c r="I29" i="5" l="1"/>
  <c r="Q28" i="5"/>
  <c r="M28" i="2"/>
  <c r="L28" i="2"/>
  <c r="P28" i="2" l="1"/>
  <c r="I29" i="2" s="1"/>
  <c r="K29" i="5"/>
  <c r="J29" i="5"/>
  <c r="Q28" i="2"/>
  <c r="M29" i="5" l="1"/>
  <c r="L29" i="5"/>
  <c r="P29" i="5" s="1"/>
  <c r="K29" i="2"/>
  <c r="J29" i="2"/>
  <c r="I30" i="5" l="1"/>
  <c r="Q29" i="5"/>
  <c r="M29" i="2"/>
  <c r="L29" i="2"/>
  <c r="P29" i="2" l="1"/>
  <c r="I30" i="2" s="1"/>
  <c r="K30" i="5"/>
  <c r="J30" i="5"/>
  <c r="Q29" i="2"/>
  <c r="M30" i="5" l="1"/>
  <c r="L30" i="5"/>
  <c r="P30" i="5" s="1"/>
  <c r="K30" i="2"/>
  <c r="J30" i="2"/>
  <c r="Q30" i="5" l="1"/>
  <c r="I31" i="5"/>
  <c r="L30" i="2"/>
  <c r="M30" i="2"/>
  <c r="P30" i="2" l="1"/>
  <c r="I31" i="2" s="1"/>
  <c r="K31" i="5"/>
  <c r="J31" i="5"/>
  <c r="Q30" i="2" l="1"/>
  <c r="M31" i="5"/>
  <c r="L31" i="5"/>
  <c r="P31" i="5" s="1"/>
  <c r="K31" i="2"/>
  <c r="J31" i="2"/>
  <c r="I32" i="5" l="1"/>
  <c r="Q31" i="5"/>
  <c r="M31" i="2"/>
  <c r="L31" i="2"/>
  <c r="P31" i="2" l="1"/>
  <c r="Q31" i="2" s="1"/>
  <c r="K32" i="5"/>
  <c r="J32" i="5"/>
  <c r="I32" i="2" l="1"/>
  <c r="K32" i="2" s="1"/>
  <c r="L32" i="5"/>
  <c r="M32" i="5"/>
  <c r="J32" i="2" l="1"/>
  <c r="P32" i="5"/>
  <c r="Q32" i="5" s="1"/>
  <c r="I33" i="5"/>
  <c r="L32" i="2"/>
  <c r="M32" i="2"/>
  <c r="P32" i="2" l="1"/>
  <c r="Q32" i="2" s="1"/>
  <c r="K33" i="5"/>
  <c r="J33" i="5"/>
  <c r="I33" i="2" l="1"/>
  <c r="K33" i="2" s="1"/>
  <c r="L33" i="5"/>
  <c r="M33" i="5"/>
  <c r="J33" i="2" l="1"/>
  <c r="P33" i="5"/>
  <c r="I34" i="5" s="1"/>
  <c r="Q33" i="5"/>
  <c r="L33" i="2"/>
  <c r="M33" i="2"/>
  <c r="P33" i="2" l="1"/>
  <c r="Q33" i="2" s="1"/>
  <c r="K34" i="5"/>
  <c r="J34" i="5"/>
  <c r="I34" i="2" l="1"/>
  <c r="K34" i="2" s="1"/>
  <c r="L34" i="5"/>
  <c r="M34" i="5"/>
  <c r="J34" i="2"/>
  <c r="P34" i="5" l="1"/>
  <c r="I35" i="5" s="1"/>
  <c r="L34" i="2"/>
  <c r="M34" i="2"/>
  <c r="Q34" i="5" l="1"/>
  <c r="P34" i="2"/>
  <c r="I35" i="2" s="1"/>
  <c r="K35" i="5"/>
  <c r="J35" i="5"/>
  <c r="Q34" i="2"/>
  <c r="M35" i="5" l="1"/>
  <c r="L35" i="5"/>
  <c r="P35" i="5" s="1"/>
  <c r="K35" i="2"/>
  <c r="J35" i="2"/>
  <c r="Q35" i="5" l="1"/>
  <c r="I36" i="5"/>
  <c r="M35" i="2"/>
  <c r="L35" i="2"/>
  <c r="P35" i="2" l="1"/>
  <c r="Q35" i="2" s="1"/>
  <c r="K36" i="5"/>
  <c r="J36" i="5"/>
  <c r="I36" i="2" l="1"/>
  <c r="K36" i="2" s="1"/>
  <c r="M36" i="5"/>
  <c r="L36" i="5"/>
  <c r="J36" i="2"/>
  <c r="P36" i="5" l="1"/>
  <c r="I37" i="5"/>
  <c r="Q36" i="5"/>
  <c r="M36" i="2"/>
  <c r="L36" i="2"/>
  <c r="P36" i="2" l="1"/>
  <c r="Q36" i="2" s="1"/>
  <c r="K37" i="5"/>
  <c r="J37" i="5"/>
  <c r="I37" i="2" l="1"/>
  <c r="K37" i="2" s="1"/>
  <c r="M37" i="5"/>
  <c r="L37" i="5"/>
  <c r="P37" i="5" s="1"/>
  <c r="J37" i="2"/>
  <c r="I38" i="5" l="1"/>
  <c r="Q37" i="5"/>
  <c r="M37" i="2"/>
  <c r="L37" i="2"/>
  <c r="P37" i="2" s="1"/>
  <c r="K38" i="5" l="1"/>
  <c r="J38" i="5"/>
  <c r="Q37" i="2"/>
  <c r="I38" i="2"/>
  <c r="M38" i="5" l="1"/>
  <c r="L38" i="5"/>
  <c r="K38" i="2"/>
  <c r="J38" i="2"/>
  <c r="P38" i="5" l="1"/>
  <c r="I39" i="5" s="1"/>
  <c r="Q38" i="5"/>
  <c r="L38" i="2"/>
  <c r="M38" i="2"/>
  <c r="P38" i="2" l="1"/>
  <c r="I39" i="2" s="1"/>
  <c r="K39" i="5"/>
  <c r="J39" i="5"/>
  <c r="Q38" i="2" l="1"/>
  <c r="M39" i="5"/>
  <c r="L39" i="5"/>
  <c r="P39" i="5" s="1"/>
  <c r="K39" i="2"/>
  <c r="J39" i="2"/>
  <c r="Q39" i="5" l="1"/>
  <c r="I40" i="5"/>
  <c r="M39" i="2"/>
  <c r="L39" i="2"/>
  <c r="P39" i="2" l="1"/>
  <c r="I40" i="2" s="1"/>
  <c r="K40" i="5"/>
  <c r="J40" i="5"/>
  <c r="Q39" i="2" l="1"/>
  <c r="M40" i="5"/>
  <c r="L40" i="5"/>
  <c r="P40" i="5" s="1"/>
  <c r="K40" i="2"/>
  <c r="J40" i="2"/>
  <c r="Q40" i="5" l="1"/>
  <c r="I41" i="5"/>
  <c r="L40" i="2"/>
  <c r="M40" i="2"/>
  <c r="P40" i="2" l="1"/>
  <c r="I41" i="2" s="1"/>
  <c r="K41" i="5"/>
  <c r="J41" i="5"/>
  <c r="Q40" i="2" l="1"/>
  <c r="M41" i="5"/>
  <c r="L41" i="5"/>
  <c r="P41" i="5" s="1"/>
  <c r="K41" i="2"/>
  <c r="J41" i="2"/>
  <c r="I42" i="5" l="1"/>
  <c r="Q41" i="5"/>
  <c r="L41" i="2"/>
  <c r="M41" i="2"/>
  <c r="P41" i="2" l="1"/>
  <c r="I42" i="2" s="1"/>
  <c r="K42" i="5"/>
  <c r="J42" i="5"/>
  <c r="Q41" i="2"/>
  <c r="L42" i="5" l="1"/>
  <c r="M42" i="5"/>
  <c r="P42" i="5" s="1"/>
  <c r="K42" i="2"/>
  <c r="J42" i="2"/>
  <c r="I43" i="5" l="1"/>
  <c r="Q42" i="5"/>
  <c r="L42" i="2"/>
  <c r="M42" i="2"/>
  <c r="P42" i="2" l="1"/>
  <c r="Q42" i="2" s="1"/>
  <c r="K43" i="5"/>
  <c r="J43" i="5"/>
  <c r="I43" i="2" l="1"/>
  <c r="M43" i="5"/>
  <c r="L43" i="5"/>
  <c r="P43" i="5" s="1"/>
  <c r="K43" i="2"/>
  <c r="J43" i="2"/>
  <c r="I44" i="5" l="1"/>
  <c r="Q43" i="5"/>
  <c r="L43" i="2"/>
  <c r="M43" i="2"/>
  <c r="P43" i="2" l="1"/>
  <c r="I44" i="2" s="1"/>
  <c r="K44" i="5"/>
  <c r="J44" i="5"/>
  <c r="Q43" i="2" l="1"/>
  <c r="L44" i="5"/>
  <c r="M44" i="5"/>
  <c r="P44" i="5" s="1"/>
  <c r="K44" i="2"/>
  <c r="J44" i="2"/>
  <c r="I45" i="5" l="1"/>
  <c r="Q44" i="5"/>
  <c r="L44" i="2"/>
  <c r="M44" i="2"/>
  <c r="P44" i="2" l="1"/>
  <c r="Q44" i="2" s="1"/>
  <c r="K45" i="5"/>
  <c r="J45" i="5"/>
  <c r="I45" i="2" l="1"/>
  <c r="K45" i="2" s="1"/>
  <c r="M45" i="5"/>
  <c r="L45" i="5"/>
  <c r="J45" i="2" l="1"/>
  <c r="P45" i="5"/>
  <c r="Q45" i="5"/>
  <c r="I46" i="5"/>
  <c r="M45" i="2"/>
  <c r="L45" i="2"/>
  <c r="P45" i="2" l="1"/>
  <c r="I46" i="2" s="1"/>
  <c r="K46" i="5"/>
  <c r="J46" i="5"/>
  <c r="Q45" i="2" l="1"/>
  <c r="M46" i="5"/>
  <c r="L46" i="5"/>
  <c r="K46" i="2"/>
  <c r="J46" i="2"/>
  <c r="P46" i="5" l="1"/>
  <c r="I47" i="5" s="1"/>
  <c r="M46" i="2"/>
  <c r="L46" i="2"/>
  <c r="P46" i="2" s="1"/>
  <c r="Q46" i="5" l="1"/>
  <c r="K47" i="5"/>
  <c r="J47" i="5"/>
  <c r="Q46" i="2"/>
  <c r="I47" i="2"/>
  <c r="M47" i="5" l="1"/>
  <c r="L47" i="5"/>
  <c r="P47" i="5" s="1"/>
  <c r="K47" i="2"/>
  <c r="J47" i="2"/>
  <c r="Q47" i="5" l="1"/>
  <c r="I48" i="5"/>
  <c r="L47" i="2"/>
  <c r="M47" i="2"/>
  <c r="P47" i="2" s="1"/>
  <c r="K48" i="5" l="1"/>
  <c r="J48" i="5"/>
  <c r="I48" i="2"/>
  <c r="Q47" i="2"/>
  <c r="L48" i="5" l="1"/>
  <c r="M48" i="5"/>
  <c r="P48" i="5" s="1"/>
  <c r="K48" i="2"/>
  <c r="J48" i="2"/>
  <c r="I49" i="5" l="1"/>
  <c r="Q48" i="5"/>
  <c r="M48" i="2"/>
  <c r="L48" i="2"/>
  <c r="P48" i="2" s="1"/>
  <c r="K49" i="5" l="1"/>
  <c r="J49" i="5"/>
  <c r="Q48" i="2"/>
  <c r="I49" i="2"/>
  <c r="M49" i="5" l="1"/>
  <c r="L49" i="5"/>
  <c r="P49" i="5" s="1"/>
  <c r="K49" i="2"/>
  <c r="J49" i="2"/>
  <c r="I50" i="5" l="1"/>
  <c r="Q49" i="5"/>
  <c r="M49" i="2"/>
  <c r="L49" i="2"/>
  <c r="P49" i="2" l="1"/>
  <c r="I50" i="2" s="1"/>
  <c r="K50" i="5"/>
  <c r="J50" i="5"/>
  <c r="Q49" i="2"/>
  <c r="M50" i="5" l="1"/>
  <c r="L50" i="5"/>
  <c r="P50" i="5" s="1"/>
  <c r="K50" i="2"/>
  <c r="J50" i="2"/>
  <c r="I51" i="5" l="1"/>
  <c r="Q50" i="5"/>
  <c r="M50" i="2"/>
  <c r="L50" i="2"/>
  <c r="P50" i="2" l="1"/>
  <c r="Q50" i="2" s="1"/>
  <c r="K51" i="5"/>
  <c r="J51" i="5"/>
  <c r="I51" i="2" l="1"/>
  <c r="K51" i="2" s="1"/>
  <c r="M51" i="5"/>
  <c r="L51" i="5"/>
  <c r="P51" i="5" s="1"/>
  <c r="J51" i="2"/>
  <c r="Q51" i="5" l="1"/>
  <c r="I52" i="5"/>
  <c r="M51" i="2"/>
  <c r="L51" i="2"/>
  <c r="P51" i="2" l="1"/>
  <c r="I52" i="2" s="1"/>
  <c r="K52" i="5"/>
  <c r="J52" i="5"/>
  <c r="Q51" i="2"/>
  <c r="M52" i="5" l="1"/>
  <c r="L52" i="5"/>
  <c r="P52" i="5" s="1"/>
  <c r="K52" i="2"/>
  <c r="J52" i="2"/>
  <c r="Q52" i="5" l="1"/>
  <c r="I53" i="5"/>
  <c r="M52" i="2"/>
  <c r="L52" i="2"/>
  <c r="P52" i="2" l="1"/>
  <c r="Q52" i="2" s="1"/>
  <c r="K53" i="5"/>
  <c r="J53" i="5"/>
  <c r="I53" i="2"/>
  <c r="M53" i="5" l="1"/>
  <c r="L53" i="5"/>
  <c r="P53" i="5" s="1"/>
  <c r="K53" i="2"/>
  <c r="J53" i="2"/>
  <c r="I54" i="5" l="1"/>
  <c r="Q53" i="5"/>
  <c r="M53" i="2"/>
  <c r="L53" i="2"/>
  <c r="P53" i="2" s="1"/>
  <c r="K54" i="5" l="1"/>
  <c r="J54" i="5"/>
  <c r="I54" i="2"/>
  <c r="Q53" i="2"/>
  <c r="L54" i="5" l="1"/>
  <c r="M54" i="5"/>
  <c r="P54" i="5" s="1"/>
  <c r="K54" i="2"/>
  <c r="J54" i="2"/>
  <c r="I55" i="5" l="1"/>
  <c r="Q54" i="5"/>
  <c r="M54" i="2"/>
  <c r="L54" i="2"/>
  <c r="P54" i="2" l="1"/>
  <c r="Q54" i="2" s="1"/>
  <c r="K55" i="5"/>
  <c r="J55" i="5"/>
  <c r="I55" i="2"/>
  <c r="M55" i="5" l="1"/>
  <c r="L55" i="5"/>
  <c r="P55" i="5" s="1"/>
  <c r="K55" i="2"/>
  <c r="J55" i="2"/>
  <c r="I56" i="5" l="1"/>
  <c r="Q55" i="5"/>
  <c r="L55" i="2"/>
  <c r="M55" i="2"/>
  <c r="P55" i="2" s="1"/>
  <c r="K56" i="5" l="1"/>
  <c r="J56" i="5"/>
  <c r="I56" i="2"/>
  <c r="Q55" i="2"/>
  <c r="M56" i="5" l="1"/>
  <c r="L56" i="5"/>
  <c r="K56" i="2"/>
  <c r="J56" i="2"/>
  <c r="P56" i="5" l="1"/>
  <c r="I57" i="5"/>
  <c r="Q56" i="5"/>
  <c r="M56" i="2"/>
  <c r="L56" i="2"/>
  <c r="P56" i="2" l="1"/>
  <c r="Q56" i="2" s="1"/>
  <c r="K57" i="5"/>
  <c r="J57" i="5"/>
  <c r="I57" i="2"/>
  <c r="M57" i="5" l="1"/>
  <c r="L57" i="5"/>
  <c r="P57" i="5" s="1"/>
  <c r="K57" i="2"/>
  <c r="J57" i="2"/>
  <c r="Q57" i="5" l="1"/>
  <c r="I58" i="5"/>
  <c r="L57" i="2"/>
  <c r="M57" i="2"/>
  <c r="P57" i="2" l="1"/>
  <c r="I58" i="2" s="1"/>
  <c r="K58" i="5"/>
  <c r="J58" i="5"/>
  <c r="Q57" i="2" l="1"/>
  <c r="M58" i="5"/>
  <c r="L58" i="5"/>
  <c r="K58" i="2"/>
  <c r="J58" i="2"/>
  <c r="P58" i="5" l="1"/>
  <c r="I59" i="5"/>
  <c r="Q58" i="5"/>
  <c r="M58" i="2"/>
  <c r="L58" i="2"/>
  <c r="P58" i="2" l="1"/>
  <c r="Q58" i="2" s="1"/>
  <c r="K59" i="5"/>
  <c r="J59" i="5"/>
  <c r="I59" i="2"/>
  <c r="M59" i="5" l="1"/>
  <c r="L59" i="5"/>
  <c r="P59" i="5" s="1"/>
  <c r="K59" i="2"/>
  <c r="J59" i="2"/>
  <c r="Q59" i="5" l="1"/>
  <c r="I60" i="5"/>
  <c r="L59" i="2"/>
  <c r="M59" i="2"/>
  <c r="P59" i="2" l="1"/>
  <c r="I60" i="2" s="1"/>
  <c r="K60" i="5"/>
  <c r="J60" i="5"/>
  <c r="Q59" i="2"/>
  <c r="M60" i="5" l="1"/>
  <c r="L60" i="5"/>
  <c r="P60" i="5" s="1"/>
  <c r="K60" i="2"/>
  <c r="J60" i="2"/>
  <c r="I61" i="5" l="1"/>
  <c r="Q60" i="5"/>
  <c r="M60" i="2"/>
  <c r="L60" i="2"/>
  <c r="P60" i="2" l="1"/>
  <c r="Q60" i="2" s="1"/>
  <c r="K61" i="5"/>
  <c r="J61" i="5"/>
  <c r="I61" i="2" l="1"/>
  <c r="K61" i="2" s="1"/>
  <c r="M61" i="5"/>
  <c r="L61" i="5"/>
  <c r="P61" i="5" s="1"/>
  <c r="J61" i="2" l="1"/>
  <c r="I62" i="5"/>
  <c r="Q61" i="5"/>
  <c r="M61" i="2"/>
  <c r="L61" i="2"/>
  <c r="P61" i="2" l="1"/>
  <c r="I62" i="2" s="1"/>
  <c r="K62" i="5"/>
  <c r="J62" i="5"/>
  <c r="Q61" i="2" l="1"/>
  <c r="M62" i="5"/>
  <c r="L62" i="5"/>
  <c r="P62" i="5" s="1"/>
  <c r="K62" i="2"/>
  <c r="J62" i="2"/>
  <c r="I63" i="5" l="1"/>
  <c r="Q62" i="5"/>
  <c r="M62" i="2"/>
  <c r="L62" i="2"/>
  <c r="P62" i="2" s="1"/>
  <c r="K63" i="5" l="1"/>
  <c r="J63" i="5"/>
  <c r="Q62" i="2"/>
  <c r="I63" i="2"/>
  <c r="M63" i="5" l="1"/>
  <c r="L63" i="5"/>
  <c r="P63" i="5" s="1"/>
  <c r="K63" i="2"/>
  <c r="J63" i="2"/>
  <c r="Q63" i="5" l="1"/>
  <c r="I64" i="5"/>
  <c r="L63" i="2"/>
  <c r="M63" i="2"/>
  <c r="P63" i="2" s="1"/>
  <c r="K64" i="5" l="1"/>
  <c r="J64" i="5"/>
  <c r="I64" i="2"/>
  <c r="Q63" i="2"/>
  <c r="M64" i="5" l="1"/>
  <c r="L64" i="5"/>
  <c r="P64" i="5" s="1"/>
  <c r="K64" i="2"/>
  <c r="J64" i="2"/>
  <c r="Q64" i="5" l="1"/>
  <c r="I65" i="5"/>
  <c r="M64" i="2"/>
  <c r="L64" i="2"/>
  <c r="P64" i="2" l="1"/>
  <c r="Q64" i="2" s="1"/>
  <c r="K65" i="5"/>
  <c r="J65" i="5"/>
  <c r="I65" i="2"/>
  <c r="M65" i="5" l="1"/>
  <c r="L65" i="5"/>
  <c r="K65" i="2"/>
  <c r="J65" i="2"/>
  <c r="P65" i="5" l="1"/>
  <c r="I66" i="5"/>
  <c r="Q65" i="5"/>
  <c r="L65" i="2"/>
  <c r="M65" i="2"/>
  <c r="P65" i="2" l="1"/>
  <c r="I66" i="2" s="1"/>
  <c r="K66" i="5"/>
  <c r="J66" i="5"/>
  <c r="Q65" i="2" l="1"/>
  <c r="M66" i="5"/>
  <c r="L66" i="5"/>
  <c r="P66" i="5" s="1"/>
  <c r="K66" i="2"/>
  <c r="J66" i="2"/>
  <c r="I67" i="5" l="1"/>
  <c r="Q66" i="5"/>
  <c r="M66" i="2"/>
  <c r="L66" i="2"/>
  <c r="P66" i="2" l="1"/>
  <c r="Q66" i="2" s="1"/>
  <c r="K67" i="5"/>
  <c r="J67" i="5"/>
  <c r="I67" i="2"/>
  <c r="M67" i="5" l="1"/>
  <c r="L67" i="5"/>
  <c r="P67" i="5" s="1"/>
  <c r="K67" i="2"/>
  <c r="J67" i="2"/>
  <c r="I68" i="5" l="1"/>
  <c r="Q67" i="5"/>
  <c r="M67" i="2"/>
  <c r="L67" i="2"/>
  <c r="P67" i="2" l="1"/>
  <c r="I68" i="2" s="1"/>
  <c r="K68" i="5"/>
  <c r="J68" i="5"/>
  <c r="Q67" i="2"/>
  <c r="M68" i="5" l="1"/>
  <c r="L68" i="5"/>
  <c r="P68" i="5" s="1"/>
  <c r="K68" i="2"/>
  <c r="J68" i="2"/>
  <c r="I69" i="5" l="1"/>
  <c r="Q68" i="5"/>
  <c r="M68" i="2"/>
  <c r="L68" i="2"/>
  <c r="P68" i="2" s="1"/>
  <c r="K69" i="5" l="1"/>
  <c r="J69" i="5"/>
  <c r="J71" i="5" s="1"/>
  <c r="Q68" i="2"/>
  <c r="I69" i="2"/>
  <c r="M69" i="5" l="1"/>
  <c r="L69" i="5"/>
  <c r="P69" i="5" s="1"/>
  <c r="Q69" i="5" s="1"/>
  <c r="Q71" i="5" s="1"/>
  <c r="K69" i="2"/>
  <c r="J69" i="2"/>
  <c r="M69" i="2" l="1"/>
  <c r="L69" i="2"/>
  <c r="P69" i="2" l="1"/>
  <c r="Q69" i="2" s="1"/>
  <c r="H69" i="3"/>
  <c r="H68" i="3"/>
  <c r="H67" i="3"/>
  <c r="H66" i="3"/>
  <c r="H65" i="3"/>
  <c r="H64" i="3"/>
  <c r="H63" i="3"/>
  <c r="H62" i="3"/>
  <c r="H61" i="3"/>
  <c r="H60" i="3"/>
  <c r="H59" i="3"/>
  <c r="H58" i="3"/>
  <c r="H57" i="3"/>
  <c r="H56" i="3"/>
  <c r="H55" i="3"/>
  <c r="H54" i="3"/>
  <c r="H53" i="3"/>
  <c r="H52" i="3"/>
  <c r="H51" i="3"/>
  <c r="H50" i="3"/>
  <c r="H49" i="3"/>
  <c r="H48" i="3"/>
  <c r="H47" i="3"/>
  <c r="H46" i="3"/>
  <c r="H45" i="3"/>
  <c r="H44" i="3"/>
  <c r="H43" i="3"/>
  <c r="H42" i="3"/>
  <c r="H41" i="3"/>
  <c r="H40" i="3"/>
  <c r="H39" i="3"/>
  <c r="H38" i="3"/>
  <c r="H37" i="3"/>
  <c r="H36" i="3"/>
  <c r="H35" i="3"/>
  <c r="H34" i="3"/>
  <c r="H33" i="3"/>
  <c r="H32" i="3"/>
  <c r="H31" i="3"/>
  <c r="H30" i="3"/>
  <c r="H29" i="3"/>
  <c r="H28" i="3"/>
  <c r="H27" i="3"/>
  <c r="H26" i="3"/>
  <c r="H25" i="3"/>
  <c r="H24" i="3"/>
  <c r="H23" i="3"/>
  <c r="H22" i="3"/>
  <c r="H21" i="3"/>
  <c r="H20" i="3"/>
  <c r="E20" i="3"/>
  <c r="E21" i="3" s="1"/>
  <c r="E22" i="3" s="1"/>
  <c r="O19" i="3"/>
  <c r="N19" i="3"/>
  <c r="S19" i="3" s="1"/>
  <c r="H19" i="3"/>
  <c r="F19" i="3"/>
  <c r="G19" i="3" s="1"/>
  <c r="O20" i="3" s="1"/>
  <c r="R18" i="3"/>
  <c r="O18" i="3"/>
  <c r="N18" i="3"/>
  <c r="S18" i="3" s="1"/>
  <c r="H18" i="3"/>
  <c r="R17" i="3"/>
  <c r="O17" i="3"/>
  <c r="N17" i="3"/>
  <c r="S17" i="3" s="1"/>
  <c r="H17" i="3"/>
  <c r="O16" i="3"/>
  <c r="R16" i="3" s="1"/>
  <c r="N16" i="3"/>
  <c r="S16" i="3" s="1"/>
  <c r="H16" i="3"/>
  <c r="O15" i="3"/>
  <c r="R15" i="3" s="1"/>
  <c r="N15" i="3"/>
  <c r="S15" i="3" s="1"/>
  <c r="H15" i="3"/>
  <c r="R14" i="3"/>
  <c r="O14" i="3"/>
  <c r="N14" i="3"/>
  <c r="S14" i="3" s="1"/>
  <c r="H14" i="3"/>
  <c r="R13" i="3"/>
  <c r="O13" i="3"/>
  <c r="N13" i="3"/>
  <c r="S13" i="3" s="1"/>
  <c r="H13" i="3"/>
  <c r="O12" i="3"/>
  <c r="R12" i="3" s="1"/>
  <c r="N12" i="3"/>
  <c r="S12" i="3" s="1"/>
  <c r="H12" i="3"/>
  <c r="O11" i="3"/>
  <c r="R11" i="3" s="1"/>
  <c r="N11" i="3"/>
  <c r="S11" i="3" s="1"/>
  <c r="H11" i="3"/>
  <c r="R10" i="3"/>
  <c r="O10" i="3"/>
  <c r="N10" i="3"/>
  <c r="S10" i="3" s="1"/>
  <c r="H10" i="3"/>
  <c r="R9" i="3"/>
  <c r="O9" i="3"/>
  <c r="N9" i="3"/>
  <c r="S9" i="3" s="1"/>
  <c r="H9" i="3"/>
  <c r="O8" i="3"/>
  <c r="R8" i="3" s="1"/>
  <c r="N8" i="3"/>
  <c r="S8" i="3" s="1"/>
  <c r="H8" i="3"/>
  <c r="O7" i="3"/>
  <c r="R7" i="3" s="1"/>
  <c r="N7" i="3"/>
  <c r="S7" i="3" s="1"/>
  <c r="H7" i="3"/>
  <c r="R6" i="3"/>
  <c r="O6" i="3"/>
  <c r="N6" i="3"/>
  <c r="S6" i="3" s="1"/>
  <c r="H6" i="3"/>
  <c r="R5" i="3"/>
  <c r="O5" i="3"/>
  <c r="N5" i="3"/>
  <c r="S5" i="3" s="1"/>
  <c r="H5" i="3"/>
  <c r="J4" i="3"/>
  <c r="I4" i="3"/>
  <c r="K4" i="3" s="1"/>
  <c r="M4" i="3" s="1"/>
  <c r="H4" i="3"/>
  <c r="R19" i="3" l="1"/>
  <c r="E23" i="3"/>
  <c r="L4" i="3"/>
  <c r="P4" i="3" s="1"/>
  <c r="N20" i="3"/>
  <c r="F20" i="3"/>
  <c r="G20" i="3" s="1"/>
  <c r="S20" i="3" l="1"/>
  <c r="I5" i="3"/>
  <c r="Q4" i="3"/>
  <c r="E24" i="3"/>
  <c r="F21" i="3"/>
  <c r="G21" i="3" s="1"/>
  <c r="O21" i="3"/>
  <c r="N21" i="3"/>
  <c r="S21" i="3" s="1"/>
  <c r="R20" i="3"/>
  <c r="R21" i="3" l="1"/>
  <c r="E25" i="3"/>
  <c r="K5" i="3"/>
  <c r="J5" i="3"/>
  <c r="N22" i="3"/>
  <c r="F22" i="3"/>
  <c r="G22" i="3" s="1"/>
  <c r="O22" i="3"/>
  <c r="R22" i="3" l="1"/>
  <c r="M5" i="3"/>
  <c r="L5" i="3"/>
  <c r="S22" i="3"/>
  <c r="O23" i="3"/>
  <c r="F23" i="3"/>
  <c r="G23" i="3" s="1"/>
  <c r="N23" i="3"/>
  <c r="S23" i="3" s="1"/>
  <c r="E26" i="3"/>
  <c r="P5" i="3" l="1"/>
  <c r="I6" i="3"/>
  <c r="Q5" i="3"/>
  <c r="O24" i="3"/>
  <c r="F24" i="3"/>
  <c r="G24" i="3" s="1"/>
  <c r="N24" i="3"/>
  <c r="E27" i="3"/>
  <c r="R23" i="3"/>
  <c r="S24" i="3" l="1"/>
  <c r="E28" i="3"/>
  <c r="N25" i="3"/>
  <c r="F25" i="3"/>
  <c r="G25" i="3" s="1"/>
  <c r="O25" i="3"/>
  <c r="R24" i="3"/>
  <c r="K6" i="3"/>
  <c r="J6" i="3"/>
  <c r="R25" i="3" l="1"/>
  <c r="S25" i="3"/>
  <c r="E29" i="3"/>
  <c r="M6" i="3"/>
  <c r="L6" i="3"/>
  <c r="N26" i="3"/>
  <c r="F26" i="3"/>
  <c r="G26" i="3" s="1"/>
  <c r="O26" i="3"/>
  <c r="P6" i="3" l="1"/>
  <c r="I7" i="3" s="1"/>
  <c r="Q6" i="3"/>
  <c r="O27" i="3"/>
  <c r="F27" i="3"/>
  <c r="G27" i="3" s="1"/>
  <c r="N27" i="3"/>
  <c r="S26" i="3"/>
  <c r="R26" i="3"/>
  <c r="E30" i="3"/>
  <c r="O28" i="3" l="1"/>
  <c r="F28" i="3"/>
  <c r="G28" i="3" s="1"/>
  <c r="N28" i="3"/>
  <c r="S28" i="3" s="1"/>
  <c r="R27" i="3"/>
  <c r="E31" i="3"/>
  <c r="S27" i="3"/>
  <c r="J7" i="3"/>
  <c r="K7" i="3"/>
  <c r="E32" i="3" l="1"/>
  <c r="M7" i="3"/>
  <c r="L7" i="3"/>
  <c r="F29" i="3"/>
  <c r="G29" i="3" s="1"/>
  <c r="O29" i="3"/>
  <c r="N29" i="3"/>
  <c r="R28" i="3"/>
  <c r="R29" i="3" l="1"/>
  <c r="P7" i="3"/>
  <c r="I8" i="3"/>
  <c r="Q7" i="3"/>
  <c r="N30" i="3"/>
  <c r="F30" i="3"/>
  <c r="G30" i="3" s="1"/>
  <c r="O30" i="3"/>
  <c r="E33" i="3"/>
  <c r="S29" i="3"/>
  <c r="O31" i="3" l="1"/>
  <c r="F31" i="3"/>
  <c r="G31" i="3" s="1"/>
  <c r="N31" i="3"/>
  <c r="S31" i="3" s="1"/>
  <c r="E34" i="3"/>
  <c r="S30" i="3"/>
  <c r="R30" i="3"/>
  <c r="J8" i="3"/>
  <c r="K8" i="3"/>
  <c r="M8" i="3" l="1"/>
  <c r="L8" i="3"/>
  <c r="P8" i="3" s="1"/>
  <c r="E35" i="3"/>
  <c r="O32" i="3"/>
  <c r="F32" i="3"/>
  <c r="G32" i="3" s="1"/>
  <c r="N32" i="3"/>
  <c r="R31" i="3"/>
  <c r="N33" i="3" l="1"/>
  <c r="O33" i="3"/>
  <c r="F33" i="3"/>
  <c r="G33" i="3" s="1"/>
  <c r="R32" i="3"/>
  <c r="I9" i="3"/>
  <c r="Q8" i="3"/>
  <c r="E36" i="3"/>
  <c r="S32" i="3"/>
  <c r="E37" i="3" l="1"/>
  <c r="O34" i="3"/>
  <c r="N34" i="3"/>
  <c r="F34" i="3"/>
  <c r="G34" i="3" s="1"/>
  <c r="K9" i="3"/>
  <c r="J9" i="3"/>
  <c r="R33" i="3"/>
  <c r="S33" i="3"/>
  <c r="R34" i="3" l="1"/>
  <c r="M9" i="3"/>
  <c r="L9" i="3"/>
  <c r="P9" i="3" s="1"/>
  <c r="O35" i="3"/>
  <c r="F35" i="3"/>
  <c r="G35" i="3" s="1"/>
  <c r="N35" i="3"/>
  <c r="S34" i="3"/>
  <c r="E38" i="3"/>
  <c r="R35" i="3" l="1"/>
  <c r="I10" i="3"/>
  <c r="Q9" i="3"/>
  <c r="S35" i="3"/>
  <c r="F36" i="3"/>
  <c r="G36" i="3" s="1"/>
  <c r="O36" i="3"/>
  <c r="N36" i="3"/>
  <c r="S36" i="3" s="1"/>
  <c r="R36" i="3" l="1"/>
  <c r="N37" i="3"/>
  <c r="F37" i="3"/>
  <c r="G37" i="3" s="1"/>
  <c r="O37" i="3"/>
  <c r="R37" i="3" s="1"/>
  <c r="K10" i="3"/>
  <c r="J10" i="3"/>
  <c r="O38" i="3" l="1"/>
  <c r="N38" i="3"/>
  <c r="F38" i="3"/>
  <c r="G38" i="3" s="1"/>
  <c r="M10" i="3"/>
  <c r="L10" i="3"/>
  <c r="S37" i="3"/>
  <c r="P10" i="3" l="1"/>
  <c r="S38" i="3"/>
  <c r="I11" i="3"/>
  <c r="Q10" i="3"/>
  <c r="N39" i="3"/>
  <c r="O39" i="3"/>
  <c r="F39" i="3"/>
  <c r="G39" i="3" s="1"/>
  <c r="R38" i="3"/>
  <c r="S39" i="3" l="1"/>
  <c r="O40" i="3"/>
  <c r="N40" i="3"/>
  <c r="F40" i="3"/>
  <c r="G40" i="3" s="1"/>
  <c r="R39" i="3"/>
  <c r="K11" i="3"/>
  <c r="J11" i="3"/>
  <c r="O41" i="3" l="1"/>
  <c r="N41" i="3"/>
  <c r="F41" i="3"/>
  <c r="G41" i="3" s="1"/>
  <c r="M11" i="3"/>
  <c r="L11" i="3"/>
  <c r="S40" i="3"/>
  <c r="R40" i="3"/>
  <c r="P11" i="3" l="1"/>
  <c r="R41" i="3"/>
  <c r="I12" i="3"/>
  <c r="Q11" i="3"/>
  <c r="O42" i="3"/>
  <c r="N42" i="3"/>
  <c r="F42" i="3"/>
  <c r="G42" i="3" s="1"/>
  <c r="S41" i="3"/>
  <c r="S42" i="3" l="1"/>
  <c r="R42" i="3"/>
  <c r="O43" i="3"/>
  <c r="N43" i="3"/>
  <c r="S43" i="3" s="1"/>
  <c r="F43" i="3"/>
  <c r="G43" i="3" s="1"/>
  <c r="K12" i="3"/>
  <c r="J12" i="3"/>
  <c r="O44" i="3" l="1"/>
  <c r="N44" i="3"/>
  <c r="F44" i="3"/>
  <c r="G44" i="3" s="1"/>
  <c r="R43" i="3"/>
  <c r="M12" i="3"/>
  <c r="L12" i="3"/>
  <c r="P12" i="3" l="1"/>
  <c r="I13" i="3"/>
  <c r="Q12" i="3"/>
  <c r="F45" i="3"/>
  <c r="G45" i="3" s="1"/>
  <c r="O45" i="3"/>
  <c r="N45" i="3"/>
  <c r="S44" i="3"/>
  <c r="R44" i="3"/>
  <c r="N46" i="3" l="1"/>
  <c r="O46" i="3"/>
  <c r="F46" i="3"/>
  <c r="G46" i="3" s="1"/>
  <c r="S45" i="3"/>
  <c r="R45" i="3"/>
  <c r="K13" i="3"/>
  <c r="J13" i="3"/>
  <c r="M13" i="3" l="1"/>
  <c r="L13" i="3"/>
  <c r="P13" i="3" s="1"/>
  <c r="O47" i="3"/>
  <c r="N47" i="3"/>
  <c r="F47" i="3"/>
  <c r="G47" i="3" s="1"/>
  <c r="R46" i="3"/>
  <c r="S46" i="3"/>
  <c r="R47" i="3" l="1"/>
  <c r="I14" i="3"/>
  <c r="Q13" i="3"/>
  <c r="F48" i="3"/>
  <c r="G48" i="3" s="1"/>
  <c r="O48" i="3"/>
  <c r="N48" i="3"/>
  <c r="S48" i="3" s="1"/>
  <c r="S47" i="3"/>
  <c r="R48" i="3" l="1"/>
  <c r="K14" i="3"/>
  <c r="J14" i="3"/>
  <c r="O49" i="3"/>
  <c r="N49" i="3"/>
  <c r="F49" i="3"/>
  <c r="G49" i="3" s="1"/>
  <c r="S49" i="3" l="1"/>
  <c r="R49" i="3"/>
  <c r="F50" i="3"/>
  <c r="G50" i="3" s="1"/>
  <c r="O50" i="3"/>
  <c r="N50" i="3"/>
  <c r="S50" i="3" s="1"/>
  <c r="M14" i="3"/>
  <c r="L14" i="3"/>
  <c r="P14" i="3" s="1"/>
  <c r="R50" i="3" l="1"/>
  <c r="I15" i="3"/>
  <c r="Q14" i="3"/>
  <c r="O51" i="3"/>
  <c r="F51" i="3"/>
  <c r="G51" i="3" s="1"/>
  <c r="N51" i="3"/>
  <c r="O52" i="3" l="1"/>
  <c r="N52" i="3"/>
  <c r="F52" i="3"/>
  <c r="G52" i="3" s="1"/>
  <c r="R51" i="3"/>
  <c r="S51" i="3"/>
  <c r="J15" i="3"/>
  <c r="K15" i="3"/>
  <c r="M15" i="3" l="1"/>
  <c r="L15" i="3"/>
  <c r="P15" i="3" s="1"/>
  <c r="O53" i="3"/>
  <c r="F53" i="3"/>
  <c r="G53" i="3" s="1"/>
  <c r="N53" i="3"/>
  <c r="S52" i="3"/>
  <c r="R52" i="3"/>
  <c r="R53" i="3" l="1"/>
  <c r="I16" i="3"/>
  <c r="Q15" i="3"/>
  <c r="S53" i="3"/>
  <c r="O54" i="3"/>
  <c r="N54" i="3"/>
  <c r="F54" i="3"/>
  <c r="G54" i="3" s="1"/>
  <c r="R54" i="3" l="1"/>
  <c r="O55" i="3"/>
  <c r="N55" i="3"/>
  <c r="F55" i="3"/>
  <c r="G55" i="3" s="1"/>
  <c r="S54" i="3"/>
  <c r="K16" i="3"/>
  <c r="J16" i="3"/>
  <c r="F56" i="3" l="1"/>
  <c r="G56" i="3" s="1"/>
  <c r="N56" i="3"/>
  <c r="O56" i="3"/>
  <c r="R56" i="3" s="1"/>
  <c r="M16" i="3"/>
  <c r="L16" i="3"/>
  <c r="S55" i="3"/>
  <c r="R55" i="3"/>
  <c r="P16" i="3" l="1"/>
  <c r="S56" i="3"/>
  <c r="I17" i="3"/>
  <c r="Q16" i="3"/>
  <c r="O57" i="3"/>
  <c r="N57" i="3"/>
  <c r="F57" i="3"/>
  <c r="G57" i="3" s="1"/>
  <c r="S57" i="3" l="1"/>
  <c r="R57" i="3"/>
  <c r="N58" i="3"/>
  <c r="F58" i="3"/>
  <c r="G58" i="3" s="1"/>
  <c r="O58" i="3"/>
  <c r="J17" i="3"/>
  <c r="K17" i="3"/>
  <c r="R58" i="3" l="1"/>
  <c r="M17" i="3"/>
  <c r="L17" i="3"/>
  <c r="P17" i="3" s="1"/>
  <c r="O59" i="3"/>
  <c r="N59" i="3"/>
  <c r="F59" i="3"/>
  <c r="G59" i="3" s="1"/>
  <c r="S58" i="3"/>
  <c r="S59" i="3" l="1"/>
  <c r="R59" i="3"/>
  <c r="I18" i="3"/>
  <c r="Q17" i="3"/>
  <c r="O60" i="3"/>
  <c r="N60" i="3"/>
  <c r="F60" i="3"/>
  <c r="G60" i="3" s="1"/>
  <c r="R60" i="3" l="1"/>
  <c r="S60" i="3"/>
  <c r="K18" i="3"/>
  <c r="J18" i="3"/>
  <c r="O61" i="3"/>
  <c r="N61" i="3"/>
  <c r="F61" i="3"/>
  <c r="G61" i="3" s="1"/>
  <c r="S61" i="3" l="1"/>
  <c r="R61" i="3"/>
  <c r="O62" i="3"/>
  <c r="N62" i="3"/>
  <c r="S62" i="3" s="1"/>
  <c r="F62" i="3"/>
  <c r="G62" i="3" s="1"/>
  <c r="M18" i="3"/>
  <c r="L18" i="3"/>
  <c r="P18" i="3" l="1"/>
  <c r="R62" i="3"/>
  <c r="Q18" i="3"/>
  <c r="I19" i="3"/>
  <c r="O63" i="3"/>
  <c r="N63" i="3"/>
  <c r="F63" i="3"/>
  <c r="G63" i="3" s="1"/>
  <c r="S63" i="3" l="1"/>
  <c r="R63" i="3"/>
  <c r="F64" i="3"/>
  <c r="G64" i="3" s="1"/>
  <c r="O64" i="3"/>
  <c r="N64" i="3"/>
  <c r="S64" i="3" s="1"/>
  <c r="J19" i="3"/>
  <c r="K19" i="3"/>
  <c r="R64" i="3" l="1"/>
  <c r="L19" i="3"/>
  <c r="M19" i="3"/>
  <c r="O65" i="3"/>
  <c r="N65" i="3"/>
  <c r="F65" i="3"/>
  <c r="G65" i="3" s="1"/>
  <c r="P19" i="3" l="1"/>
  <c r="I20" i="3"/>
  <c r="Q19" i="3"/>
  <c r="R65" i="3"/>
  <c r="N66" i="3"/>
  <c r="F66" i="3"/>
  <c r="G66" i="3" s="1"/>
  <c r="O66" i="3"/>
  <c r="S65" i="3"/>
  <c r="S66" i="3" l="1"/>
  <c r="R66" i="3"/>
  <c r="O67" i="3"/>
  <c r="N67" i="3"/>
  <c r="S67" i="3" s="1"/>
  <c r="F67" i="3"/>
  <c r="G67" i="3" s="1"/>
  <c r="K20" i="3"/>
  <c r="J20" i="3"/>
  <c r="R67" i="3" l="1"/>
  <c r="L20" i="3"/>
  <c r="M20" i="3"/>
  <c r="O68" i="3"/>
  <c r="N68" i="3"/>
  <c r="F68" i="3"/>
  <c r="G68" i="3" s="1"/>
  <c r="P20" i="3" l="1"/>
  <c r="I21" i="3"/>
  <c r="Q20" i="3"/>
  <c r="R68" i="3"/>
  <c r="O69" i="3"/>
  <c r="N69" i="3"/>
  <c r="F69" i="3"/>
  <c r="G69" i="3" s="1"/>
  <c r="S68" i="3"/>
  <c r="S69" i="3" l="1"/>
  <c r="R69" i="3"/>
  <c r="K21" i="3"/>
  <c r="J21" i="3"/>
  <c r="M21" i="3" l="1"/>
  <c r="L21" i="3"/>
  <c r="P21" i="3" l="1"/>
  <c r="Q21" i="3"/>
  <c r="I22" i="3"/>
  <c r="K22" i="3" l="1"/>
  <c r="J22" i="3"/>
  <c r="L22" i="3" l="1"/>
  <c r="M22" i="3"/>
  <c r="P22" i="3" l="1"/>
  <c r="Q22" i="3" s="1"/>
  <c r="I23" i="3"/>
  <c r="K23" i="3" l="1"/>
  <c r="J23" i="3"/>
  <c r="M23" i="3" l="1"/>
  <c r="L23" i="3"/>
  <c r="P23" i="3" s="1"/>
  <c r="Q23" i="3" l="1"/>
  <c r="I24" i="3"/>
  <c r="K24" i="3" l="1"/>
  <c r="J24" i="3"/>
  <c r="L24" i="3" l="1"/>
  <c r="M24" i="3"/>
  <c r="P24" i="3" l="1"/>
  <c r="I25" i="3"/>
  <c r="Q24" i="3"/>
  <c r="K25" i="3" l="1"/>
  <c r="J25" i="3"/>
  <c r="M25" i="3" l="1"/>
  <c r="L25" i="3"/>
  <c r="P25" i="3" s="1"/>
  <c r="Q25" i="3" l="1"/>
  <c r="I26" i="3"/>
  <c r="K26" i="3" l="1"/>
  <c r="J26" i="3"/>
  <c r="M26" i="3" l="1"/>
  <c r="L26" i="3"/>
  <c r="P26" i="3" s="1"/>
  <c r="I27" i="3" l="1"/>
  <c r="Q26" i="3"/>
  <c r="K27" i="3" l="1"/>
  <c r="J27" i="3"/>
  <c r="M27" i="3" l="1"/>
  <c r="L27" i="3"/>
  <c r="P27" i="3" s="1"/>
  <c r="Q27" i="3" l="1"/>
  <c r="I28" i="3"/>
  <c r="K28" i="3" l="1"/>
  <c r="J28" i="3"/>
  <c r="L28" i="3" l="1"/>
  <c r="M28" i="3"/>
  <c r="P28" i="3" l="1"/>
  <c r="I29" i="3" s="1"/>
  <c r="Q28" i="3"/>
  <c r="K29" i="3" l="1"/>
  <c r="J29" i="3"/>
  <c r="M29" i="3" l="1"/>
  <c r="L29" i="3"/>
  <c r="P29" i="3" s="1"/>
  <c r="Q29" i="3" l="1"/>
  <c r="I30" i="3"/>
  <c r="K30" i="3" l="1"/>
  <c r="J30" i="3"/>
  <c r="L30" i="3" l="1"/>
  <c r="M30" i="3"/>
  <c r="P30" i="3" s="1"/>
  <c r="Q30" i="3" l="1"/>
  <c r="I31" i="3"/>
  <c r="K31" i="3" l="1"/>
  <c r="J31" i="3"/>
  <c r="M31" i="3" l="1"/>
  <c r="L31" i="3"/>
  <c r="P31" i="3" s="1"/>
  <c r="I32" i="3" l="1"/>
  <c r="Q31" i="3"/>
  <c r="K32" i="3" l="1"/>
  <c r="J32" i="3"/>
  <c r="L32" i="3" l="1"/>
  <c r="M32" i="3"/>
  <c r="P32" i="3" l="1"/>
  <c r="I33" i="3"/>
  <c r="Q32" i="3"/>
  <c r="K33" i="3" l="1"/>
  <c r="J33" i="3"/>
  <c r="M33" i="3" l="1"/>
  <c r="L33" i="3"/>
  <c r="P33" i="3" l="1"/>
  <c r="Q33" i="3"/>
  <c r="I34" i="3"/>
  <c r="K34" i="3" l="1"/>
  <c r="J34" i="3"/>
  <c r="M34" i="3" l="1"/>
  <c r="L34" i="3"/>
  <c r="P34" i="3" s="1"/>
  <c r="Q34" i="3" l="1"/>
  <c r="I35" i="3"/>
  <c r="K35" i="3" l="1"/>
  <c r="J35" i="3"/>
  <c r="L35" i="3" l="1"/>
  <c r="M35" i="3"/>
  <c r="P35" i="3" l="1"/>
  <c r="I36" i="3" s="1"/>
  <c r="Q35" i="3"/>
  <c r="K36" i="3" l="1"/>
  <c r="J36" i="3"/>
  <c r="M36" i="3" l="1"/>
  <c r="L36" i="3"/>
  <c r="P36" i="3" s="1"/>
  <c r="Q36" i="3" l="1"/>
  <c r="I37" i="3"/>
  <c r="K37" i="3" l="1"/>
  <c r="J37" i="3"/>
  <c r="M37" i="3" l="1"/>
  <c r="L37" i="3"/>
  <c r="P37" i="3" s="1"/>
  <c r="Q37" i="3" l="1"/>
  <c r="I38" i="3"/>
  <c r="K38" i="3" l="1"/>
  <c r="J38" i="3"/>
  <c r="M38" i="3" l="1"/>
  <c r="L38" i="3"/>
  <c r="P38" i="3" s="1"/>
  <c r="I39" i="3" l="1"/>
  <c r="Q38" i="3"/>
  <c r="K39" i="3" l="1"/>
  <c r="J39" i="3"/>
  <c r="M39" i="3" l="1"/>
  <c r="L39" i="3"/>
  <c r="P39" i="3" s="1"/>
  <c r="Q39" i="3" l="1"/>
  <c r="I40" i="3"/>
  <c r="K40" i="3" l="1"/>
  <c r="J40" i="3"/>
  <c r="L40" i="3" l="1"/>
  <c r="M40" i="3"/>
  <c r="P40" i="3" l="1"/>
  <c r="I41" i="3"/>
  <c r="Q40" i="3"/>
  <c r="K41" i="3" l="1"/>
  <c r="J41" i="3"/>
  <c r="M41" i="3" l="1"/>
  <c r="L41" i="3"/>
  <c r="P41" i="3" s="1"/>
  <c r="Q41" i="3" l="1"/>
  <c r="I42" i="3"/>
  <c r="K42" i="3" l="1"/>
  <c r="J42" i="3"/>
  <c r="L42" i="3" l="1"/>
  <c r="M42" i="3"/>
  <c r="P42" i="3" s="1"/>
  <c r="I43" i="3" l="1"/>
  <c r="Q42" i="3"/>
  <c r="K43" i="3" l="1"/>
  <c r="J43" i="3"/>
  <c r="M43" i="3" l="1"/>
  <c r="L43" i="3"/>
  <c r="P43" i="3" s="1"/>
  <c r="Q43" i="3" l="1"/>
  <c r="I44" i="3"/>
  <c r="K44" i="3" l="1"/>
  <c r="J44" i="3"/>
  <c r="L44" i="3" l="1"/>
  <c r="M44" i="3"/>
  <c r="P44" i="3" l="1"/>
  <c r="I45" i="3" s="1"/>
  <c r="Q44" i="3" l="1"/>
  <c r="K45" i="3"/>
  <c r="J45" i="3"/>
  <c r="M45" i="3" l="1"/>
  <c r="L45" i="3"/>
  <c r="P45" i="3" s="1"/>
  <c r="I46" i="3" l="1"/>
  <c r="Q45" i="3"/>
  <c r="K46" i="3" l="1"/>
  <c r="J46" i="3"/>
  <c r="M46" i="3" l="1"/>
  <c r="L46" i="3"/>
  <c r="P46" i="3" s="1"/>
  <c r="Q46" i="3" l="1"/>
  <c r="I47" i="3"/>
  <c r="K47" i="3" l="1"/>
  <c r="J47" i="3"/>
  <c r="L47" i="3" l="1"/>
  <c r="M47" i="3"/>
  <c r="P47" i="3" l="1"/>
  <c r="I48" i="3"/>
  <c r="Q47" i="3"/>
  <c r="K48" i="3" l="1"/>
  <c r="J48" i="3"/>
  <c r="M48" i="3" l="1"/>
  <c r="L48" i="3"/>
  <c r="P48" i="3" s="1"/>
  <c r="Q48" i="3" l="1"/>
  <c r="I49" i="3"/>
  <c r="K49" i="3" l="1"/>
  <c r="J49" i="3"/>
  <c r="M49" i="3" l="1"/>
  <c r="L49" i="3"/>
  <c r="P49" i="3" l="1"/>
  <c r="I50" i="3" s="1"/>
  <c r="Q49" i="3"/>
  <c r="K50" i="3" l="1"/>
  <c r="J50" i="3"/>
  <c r="M50" i="3" l="1"/>
  <c r="L50" i="3"/>
  <c r="P50" i="3" s="1"/>
  <c r="Q50" i="3" l="1"/>
  <c r="I51" i="3"/>
  <c r="K51" i="3" l="1"/>
  <c r="J51" i="3"/>
  <c r="M51" i="3" l="1"/>
  <c r="L51" i="3"/>
  <c r="P51" i="3" s="1"/>
  <c r="I52" i="3" l="1"/>
  <c r="Q51" i="3"/>
  <c r="K52" i="3" l="1"/>
  <c r="J52" i="3"/>
  <c r="M52" i="3" l="1"/>
  <c r="L52" i="3"/>
  <c r="P52" i="3" s="1"/>
  <c r="Q52" i="3" l="1"/>
  <c r="I53" i="3"/>
  <c r="K53" i="3" l="1"/>
  <c r="J53" i="3"/>
  <c r="L53" i="3" l="1"/>
  <c r="M53" i="3"/>
  <c r="P53" i="3" l="1"/>
  <c r="I54" i="3"/>
  <c r="Q53" i="3"/>
  <c r="K54" i="3" l="1"/>
  <c r="J54" i="3"/>
  <c r="M54" i="3" l="1"/>
  <c r="L54" i="3"/>
  <c r="P54" i="3" s="1"/>
  <c r="Q54" i="3" l="1"/>
  <c r="I55" i="3"/>
  <c r="K55" i="3" l="1"/>
  <c r="J55" i="3"/>
  <c r="L55" i="3" l="1"/>
  <c r="M55" i="3"/>
  <c r="P55" i="3" l="1"/>
  <c r="I56" i="3" s="1"/>
  <c r="Q55" i="3"/>
  <c r="K56" i="3" l="1"/>
  <c r="J56" i="3"/>
  <c r="M56" i="3" l="1"/>
  <c r="L56" i="3"/>
  <c r="P56" i="3" s="1"/>
  <c r="Q56" i="3" l="1"/>
  <c r="I57" i="3"/>
  <c r="K57" i="3" l="1"/>
  <c r="J57" i="3"/>
  <c r="M57" i="3" l="1"/>
  <c r="L57" i="3"/>
  <c r="P57" i="3" s="1"/>
  <c r="I58" i="3" l="1"/>
  <c r="Q57" i="3"/>
  <c r="K58" i="3" l="1"/>
  <c r="J58" i="3"/>
  <c r="M58" i="3" l="1"/>
  <c r="L58" i="3"/>
  <c r="P58" i="3" s="1"/>
  <c r="Q58" i="3" l="1"/>
  <c r="I59" i="3"/>
  <c r="K59" i="3" l="1"/>
  <c r="J59" i="3"/>
  <c r="M59" i="3" l="1"/>
  <c r="L59" i="3"/>
  <c r="P59" i="3" s="1"/>
  <c r="I60" i="3" l="1"/>
  <c r="Q59" i="3"/>
  <c r="K60" i="3" l="1"/>
  <c r="J60" i="3"/>
  <c r="M60" i="3" l="1"/>
  <c r="L60" i="3"/>
  <c r="P60" i="3" l="1"/>
  <c r="Q60" i="3"/>
  <c r="I61" i="3"/>
  <c r="K61" i="3" l="1"/>
  <c r="J61" i="3"/>
  <c r="L61" i="3" l="1"/>
  <c r="M61" i="3"/>
  <c r="P61" i="3" l="1"/>
  <c r="I62" i="3"/>
  <c r="Q61" i="3"/>
  <c r="K62" i="3" l="1"/>
  <c r="J62" i="3"/>
  <c r="M62" i="3" l="1"/>
  <c r="L62" i="3"/>
  <c r="P62" i="3" l="1"/>
  <c r="Q62" i="3"/>
  <c r="I63" i="3"/>
  <c r="K63" i="3" l="1"/>
  <c r="J63" i="3"/>
  <c r="L63" i="3" l="1"/>
  <c r="M63" i="3"/>
  <c r="P63" i="3" l="1"/>
  <c r="I64" i="3"/>
  <c r="Q63" i="3"/>
  <c r="K64" i="3" l="1"/>
  <c r="J64" i="3"/>
  <c r="M64" i="3" l="1"/>
  <c r="L64" i="3"/>
  <c r="P64" i="3" s="1"/>
  <c r="Q64" i="3" l="1"/>
  <c r="I65" i="3"/>
  <c r="K65" i="3" l="1"/>
  <c r="J65" i="3"/>
  <c r="M65" i="3" l="1"/>
  <c r="L65" i="3"/>
  <c r="P65" i="3" s="1"/>
  <c r="I66" i="3" l="1"/>
  <c r="Q65" i="3"/>
  <c r="K66" i="3" l="1"/>
  <c r="J66" i="3"/>
  <c r="M66" i="3" l="1"/>
  <c r="L66" i="3"/>
  <c r="P66" i="3" s="1"/>
  <c r="Q66" i="3" l="1"/>
  <c r="I67" i="3"/>
  <c r="K67" i="3" l="1"/>
  <c r="J67" i="3"/>
  <c r="M67" i="3" l="1"/>
  <c r="L67" i="3"/>
  <c r="P67" i="3" s="1"/>
  <c r="I68" i="3" l="1"/>
  <c r="Q67" i="3"/>
  <c r="K68" i="3" l="1"/>
  <c r="J68" i="3"/>
  <c r="M68" i="3" l="1"/>
  <c r="L68" i="3"/>
  <c r="P68" i="3" s="1"/>
  <c r="Q68" i="3" l="1"/>
  <c r="I69" i="3"/>
  <c r="K69" i="3" l="1"/>
  <c r="J69" i="3"/>
  <c r="M69" i="3" l="1"/>
  <c r="L69" i="3"/>
  <c r="P69" i="3" s="1"/>
  <c r="Q69" i="3" s="1"/>
  <c r="O70" i="4" l="1"/>
  <c r="O69" i="4"/>
  <c r="O68" i="4"/>
  <c r="O67" i="4"/>
  <c r="O66" i="4"/>
  <c r="O65" i="4"/>
  <c r="O64" i="4"/>
  <c r="O63" i="4"/>
  <c r="O62" i="4"/>
  <c r="O61" i="4"/>
  <c r="O60" i="4"/>
  <c r="O59" i="4"/>
  <c r="O58" i="4"/>
  <c r="O57" i="4"/>
  <c r="O56" i="4"/>
  <c r="O55" i="4"/>
  <c r="O54" i="4"/>
  <c r="O53" i="4"/>
  <c r="O52" i="4"/>
  <c r="O51" i="4"/>
  <c r="O50" i="4"/>
  <c r="O49" i="4"/>
  <c r="O48" i="4"/>
  <c r="O47" i="4"/>
  <c r="O46" i="4"/>
  <c r="O45" i="4"/>
  <c r="O44" i="4"/>
  <c r="O43" i="4"/>
  <c r="O42" i="4"/>
  <c r="O41" i="4"/>
  <c r="O40" i="4"/>
  <c r="O39" i="4"/>
  <c r="O38" i="4"/>
  <c r="O37" i="4"/>
  <c r="O36" i="4"/>
  <c r="O35" i="4"/>
  <c r="O34" i="4"/>
  <c r="O33" i="4"/>
  <c r="O32" i="4"/>
  <c r="O31" i="4"/>
  <c r="O30" i="4"/>
  <c r="O29" i="4"/>
  <c r="O28" i="4"/>
  <c r="O27" i="4"/>
  <c r="O26" i="4"/>
  <c r="O25" i="4"/>
  <c r="O24" i="4"/>
  <c r="O23" i="4"/>
  <c r="O22" i="4"/>
  <c r="O21" i="4"/>
  <c r="O20" i="4"/>
  <c r="O19" i="4"/>
  <c r="O18" i="4"/>
  <c r="O17" i="4"/>
  <c r="O16" i="4"/>
  <c r="O15" i="4"/>
  <c r="O14" i="4"/>
  <c r="O13" i="4"/>
  <c r="O12" i="4"/>
  <c r="O11" i="4"/>
  <c r="O10" i="4"/>
  <c r="O9" i="4"/>
  <c r="O8" i="4"/>
  <c r="O7" i="4"/>
  <c r="O6" i="4"/>
  <c r="O5" i="4"/>
  <c r="J70" i="4"/>
  <c r="J69" i="4"/>
  <c r="J68" i="4"/>
  <c r="J67" i="4"/>
  <c r="J66" i="4"/>
  <c r="J65" i="4"/>
  <c r="J64" i="4"/>
  <c r="J63" i="4"/>
  <c r="J62" i="4"/>
  <c r="J61" i="4"/>
  <c r="J60" i="4"/>
  <c r="J59" i="4"/>
  <c r="J58" i="4"/>
  <c r="J57" i="4"/>
  <c r="J56" i="4"/>
  <c r="J55" i="4"/>
  <c r="J54" i="4"/>
  <c r="J53" i="4"/>
  <c r="J52" i="4"/>
  <c r="J51" i="4"/>
  <c r="J50" i="4"/>
  <c r="J49" i="4"/>
  <c r="J48" i="4"/>
  <c r="J47" i="4"/>
  <c r="J46" i="4"/>
  <c r="J45" i="4"/>
  <c r="J44" i="4"/>
  <c r="J43" i="4"/>
  <c r="J42" i="4"/>
  <c r="J41" i="4"/>
  <c r="J40" i="4"/>
  <c r="J39" i="4"/>
  <c r="J38" i="4"/>
  <c r="J37" i="4"/>
  <c r="J36" i="4"/>
  <c r="J35" i="4"/>
  <c r="J34" i="4"/>
  <c r="J33" i="4"/>
  <c r="J32" i="4"/>
  <c r="J31" i="4"/>
  <c r="J30" i="4"/>
  <c r="J29" i="4"/>
  <c r="J28" i="4"/>
  <c r="J27" i="4"/>
  <c r="J26" i="4"/>
  <c r="J25" i="4"/>
  <c r="J24" i="4"/>
  <c r="J23" i="4"/>
  <c r="J22" i="4"/>
  <c r="J21" i="4"/>
  <c r="J20" i="4"/>
  <c r="J19" i="4"/>
  <c r="J18" i="4"/>
  <c r="J17" i="4"/>
  <c r="J16" i="4"/>
  <c r="J15" i="4"/>
  <c r="J14" i="4"/>
  <c r="J13" i="4"/>
  <c r="J12" i="4"/>
  <c r="J11" i="4"/>
  <c r="J10" i="4"/>
  <c r="J9" i="4"/>
  <c r="J8" i="4"/>
  <c r="J7" i="4"/>
  <c r="J6" i="4"/>
  <c r="J5" i="4"/>
  <c r="F70" i="4"/>
  <c r="F69" i="4"/>
  <c r="F68" i="4"/>
  <c r="F67" i="4"/>
  <c r="F66" i="4"/>
  <c r="F65" i="4"/>
  <c r="F64" i="4"/>
  <c r="F63" i="4"/>
  <c r="F62" i="4"/>
  <c r="F61" i="4"/>
  <c r="F60" i="4"/>
  <c r="F59" i="4"/>
  <c r="F58" i="4"/>
  <c r="F57" i="4"/>
  <c r="F56" i="4"/>
  <c r="F55" i="4"/>
  <c r="F54" i="4"/>
  <c r="F53" i="4"/>
  <c r="F52" i="4"/>
  <c r="F51" i="4"/>
  <c r="F50" i="4"/>
  <c r="F49" i="4"/>
  <c r="F48" i="4"/>
  <c r="F47" i="4"/>
  <c r="F46" i="4"/>
  <c r="F45" i="4"/>
  <c r="F44" i="4"/>
  <c r="F43" i="4"/>
  <c r="F42" i="4"/>
  <c r="F41" i="4"/>
  <c r="F40" i="4"/>
  <c r="F39" i="4"/>
  <c r="F38" i="4"/>
  <c r="F37" i="4"/>
  <c r="F36" i="4"/>
  <c r="F35" i="4"/>
  <c r="F34" i="4"/>
  <c r="F33" i="4"/>
  <c r="F32" i="4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F8" i="4"/>
  <c r="F7" i="4"/>
  <c r="F6" i="4"/>
  <c r="F5" i="4"/>
  <c r="K70" i="4"/>
  <c r="K69" i="4"/>
  <c r="K68" i="4"/>
  <c r="K67" i="4"/>
  <c r="K66" i="4"/>
  <c r="K65" i="4"/>
  <c r="K64" i="4"/>
  <c r="K63" i="4"/>
  <c r="K62" i="4"/>
  <c r="K61" i="4"/>
  <c r="K60" i="4"/>
  <c r="K59" i="4"/>
  <c r="K58" i="4"/>
  <c r="K57" i="4"/>
  <c r="K56" i="4"/>
  <c r="K55" i="4"/>
  <c r="K54" i="4"/>
  <c r="K53" i="4"/>
  <c r="K52" i="4"/>
  <c r="K51" i="4"/>
  <c r="K50" i="4"/>
  <c r="K49" i="4"/>
  <c r="K48" i="4"/>
  <c r="K47" i="4"/>
  <c r="K46" i="4"/>
  <c r="K45" i="4"/>
  <c r="K44" i="4"/>
  <c r="K43" i="4"/>
  <c r="K42" i="4"/>
  <c r="K41" i="4"/>
  <c r="K40" i="4"/>
  <c r="K39" i="4"/>
  <c r="K38" i="4"/>
  <c r="K37" i="4"/>
  <c r="K36" i="4"/>
  <c r="K35" i="4"/>
  <c r="K34" i="4"/>
  <c r="K33" i="4"/>
  <c r="K32" i="4"/>
  <c r="K31" i="4"/>
  <c r="K30" i="4"/>
  <c r="K29" i="4"/>
  <c r="K28" i="4"/>
  <c r="K27" i="4"/>
  <c r="K26" i="4"/>
  <c r="K25" i="4"/>
  <c r="K24" i="4"/>
  <c r="K23" i="4"/>
  <c r="K22" i="4"/>
  <c r="K21" i="4"/>
  <c r="K20" i="4"/>
  <c r="K19" i="4"/>
  <c r="K18" i="4"/>
  <c r="K17" i="4"/>
  <c r="K16" i="4"/>
  <c r="K15" i="4"/>
  <c r="K14" i="4"/>
  <c r="K13" i="4"/>
  <c r="K12" i="4"/>
  <c r="K11" i="4"/>
  <c r="K10" i="4"/>
  <c r="K9" i="4"/>
  <c r="K8" i="4"/>
  <c r="K7" i="4"/>
  <c r="K6" i="4"/>
  <c r="K5" i="4"/>
  <c r="I70" i="4"/>
  <c r="I69" i="4"/>
  <c r="I68" i="4"/>
  <c r="I67" i="4"/>
  <c r="I66" i="4"/>
  <c r="I65" i="4"/>
  <c r="I64" i="4"/>
  <c r="I63" i="4"/>
  <c r="I62" i="4"/>
  <c r="I61" i="4"/>
  <c r="I60" i="4"/>
  <c r="I59" i="4"/>
  <c r="I58" i="4"/>
  <c r="I57" i="4"/>
  <c r="I56" i="4"/>
  <c r="I55" i="4"/>
  <c r="I54" i="4"/>
  <c r="I53" i="4"/>
  <c r="I52" i="4"/>
  <c r="I51" i="4"/>
  <c r="I50" i="4"/>
  <c r="I49" i="4"/>
  <c r="I48" i="4"/>
  <c r="I47" i="4"/>
  <c r="I46" i="4"/>
  <c r="I45" i="4"/>
  <c r="I44" i="4"/>
  <c r="I43" i="4"/>
  <c r="I42" i="4"/>
  <c r="I41" i="4"/>
  <c r="I40" i="4"/>
  <c r="I39" i="4"/>
  <c r="I38" i="4"/>
  <c r="I37" i="4"/>
  <c r="I36" i="4"/>
  <c r="I35" i="4"/>
  <c r="I34" i="4"/>
  <c r="I33" i="4"/>
  <c r="I32" i="4"/>
  <c r="I31" i="4"/>
  <c r="I30" i="4"/>
  <c r="I29" i="4"/>
  <c r="I28" i="4"/>
  <c r="I27" i="4"/>
  <c r="I26" i="4"/>
  <c r="I25" i="4"/>
  <c r="I24" i="4"/>
  <c r="I23" i="4"/>
  <c r="I22" i="4"/>
  <c r="I21" i="4"/>
  <c r="I20" i="4"/>
  <c r="I19" i="4"/>
  <c r="I18" i="4"/>
  <c r="I17" i="4"/>
  <c r="I16" i="4"/>
  <c r="I15" i="4"/>
  <c r="I14" i="4"/>
  <c r="I13" i="4"/>
  <c r="I12" i="4"/>
  <c r="I11" i="4"/>
  <c r="I10" i="4"/>
  <c r="I9" i="4"/>
  <c r="I8" i="4"/>
  <c r="I7" i="4"/>
  <c r="I6" i="4"/>
  <c r="I5" i="4"/>
  <c r="P70" i="4"/>
  <c r="N70" i="4"/>
  <c r="P69" i="4"/>
  <c r="N69" i="4"/>
  <c r="P68" i="4"/>
  <c r="N68" i="4"/>
  <c r="P67" i="4"/>
  <c r="N67" i="4"/>
  <c r="P66" i="4"/>
  <c r="N66" i="4"/>
  <c r="P65" i="4"/>
  <c r="N65" i="4"/>
  <c r="P64" i="4"/>
  <c r="N64" i="4"/>
  <c r="P63" i="4"/>
  <c r="N63" i="4"/>
  <c r="P62" i="4"/>
  <c r="N62" i="4"/>
  <c r="P61" i="4"/>
  <c r="N61" i="4"/>
  <c r="P60" i="4"/>
  <c r="N60" i="4"/>
  <c r="P59" i="4"/>
  <c r="N59" i="4"/>
  <c r="P58" i="4"/>
  <c r="N58" i="4"/>
  <c r="P57" i="4"/>
  <c r="N57" i="4"/>
  <c r="P56" i="4"/>
  <c r="N56" i="4"/>
  <c r="P55" i="4"/>
  <c r="N55" i="4"/>
  <c r="P54" i="4"/>
  <c r="N54" i="4"/>
  <c r="P53" i="4"/>
  <c r="N53" i="4"/>
  <c r="P52" i="4"/>
  <c r="N52" i="4"/>
  <c r="P51" i="4"/>
  <c r="N51" i="4"/>
  <c r="P50" i="4"/>
  <c r="N50" i="4"/>
  <c r="P49" i="4"/>
  <c r="N49" i="4"/>
  <c r="P48" i="4"/>
  <c r="N48" i="4"/>
  <c r="P47" i="4"/>
  <c r="N47" i="4"/>
  <c r="P46" i="4"/>
  <c r="N46" i="4"/>
  <c r="P45" i="4"/>
  <c r="N45" i="4"/>
  <c r="P44" i="4"/>
  <c r="N44" i="4"/>
  <c r="P43" i="4"/>
  <c r="N43" i="4"/>
  <c r="P42" i="4"/>
  <c r="N42" i="4"/>
  <c r="P41" i="4"/>
  <c r="N41" i="4"/>
  <c r="P40" i="4"/>
  <c r="N40" i="4"/>
  <c r="P39" i="4"/>
  <c r="N39" i="4"/>
  <c r="P38" i="4"/>
  <c r="N38" i="4"/>
  <c r="P37" i="4"/>
  <c r="N37" i="4"/>
  <c r="P36" i="4"/>
  <c r="N36" i="4"/>
  <c r="P35" i="4"/>
  <c r="N35" i="4"/>
  <c r="P34" i="4"/>
  <c r="N34" i="4"/>
  <c r="P33" i="4"/>
  <c r="N33" i="4"/>
  <c r="P32" i="4"/>
  <c r="N32" i="4"/>
  <c r="P31" i="4"/>
  <c r="N31" i="4"/>
  <c r="P30" i="4"/>
  <c r="N30" i="4"/>
  <c r="P29" i="4"/>
  <c r="N29" i="4"/>
  <c r="P28" i="4"/>
  <c r="N28" i="4"/>
  <c r="P27" i="4"/>
  <c r="N27" i="4"/>
  <c r="P26" i="4"/>
  <c r="N26" i="4"/>
  <c r="P25" i="4"/>
  <c r="N25" i="4"/>
  <c r="P24" i="4"/>
  <c r="N24" i="4"/>
  <c r="P23" i="4"/>
  <c r="N23" i="4"/>
  <c r="P22" i="4"/>
  <c r="N22" i="4"/>
  <c r="P21" i="4"/>
  <c r="N21" i="4"/>
  <c r="P20" i="4"/>
  <c r="N20" i="4"/>
  <c r="P19" i="4"/>
  <c r="N19" i="4"/>
  <c r="P18" i="4"/>
  <c r="N18" i="4"/>
  <c r="P17" i="4"/>
  <c r="N17" i="4"/>
  <c r="P16" i="4"/>
  <c r="N16" i="4"/>
  <c r="P15" i="4"/>
  <c r="N15" i="4"/>
  <c r="P14" i="4"/>
  <c r="N14" i="4"/>
  <c r="P13" i="4"/>
  <c r="N13" i="4"/>
  <c r="P12" i="4"/>
  <c r="N12" i="4"/>
  <c r="P11" i="4"/>
  <c r="N11" i="4"/>
  <c r="P10" i="4"/>
  <c r="N10" i="4"/>
  <c r="P9" i="4"/>
  <c r="N9" i="4"/>
  <c r="P8" i="4"/>
  <c r="N8" i="4"/>
  <c r="P7" i="4"/>
  <c r="N7" i="4"/>
  <c r="P6" i="4"/>
  <c r="N6" i="4"/>
  <c r="P5" i="4"/>
  <c r="N5" i="4"/>
  <c r="G70" i="4"/>
  <c r="G69" i="4"/>
  <c r="G68" i="4"/>
  <c r="G67" i="4"/>
  <c r="G66" i="4"/>
  <c r="G65" i="4"/>
  <c r="G64" i="4"/>
  <c r="G63" i="4"/>
  <c r="G62" i="4"/>
  <c r="G61" i="4"/>
  <c r="G60" i="4"/>
  <c r="G59" i="4"/>
  <c r="G58" i="4"/>
  <c r="G57" i="4"/>
  <c r="G56" i="4"/>
  <c r="G55" i="4"/>
  <c r="G54" i="4"/>
  <c r="G53" i="4"/>
  <c r="G52" i="4"/>
  <c r="G51" i="4"/>
  <c r="G50" i="4"/>
  <c r="G49" i="4"/>
  <c r="G48" i="4"/>
  <c r="G47" i="4"/>
  <c r="G46" i="4"/>
  <c r="G45" i="4"/>
  <c r="G44" i="4"/>
  <c r="G43" i="4"/>
  <c r="G42" i="4"/>
  <c r="G41" i="4"/>
  <c r="G40" i="4"/>
  <c r="G39" i="4"/>
  <c r="G38" i="4"/>
  <c r="G37" i="4"/>
  <c r="G36" i="4"/>
  <c r="G35" i="4"/>
  <c r="G34" i="4"/>
  <c r="G33" i="4"/>
  <c r="G32" i="4"/>
  <c r="G31" i="4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G10" i="4"/>
  <c r="G9" i="4"/>
  <c r="G8" i="4"/>
  <c r="G7" i="4"/>
  <c r="G6" i="4"/>
  <c r="G5" i="4"/>
  <c r="E70" i="4"/>
  <c r="E69" i="4"/>
  <c r="E68" i="4"/>
  <c r="E67" i="4"/>
  <c r="E66" i="4"/>
  <c r="E65" i="4"/>
  <c r="E64" i="4"/>
  <c r="E63" i="4"/>
  <c r="E62" i="4"/>
  <c r="E61" i="4"/>
  <c r="E60" i="4"/>
  <c r="E59" i="4"/>
  <c r="E58" i="4"/>
  <c r="E57" i="4"/>
  <c r="E56" i="4"/>
  <c r="E55" i="4"/>
  <c r="E54" i="4"/>
  <c r="E53" i="4"/>
  <c r="E52" i="4"/>
  <c r="E51" i="4"/>
  <c r="E50" i="4"/>
  <c r="E49" i="4"/>
  <c r="E48" i="4"/>
  <c r="E47" i="4"/>
  <c r="E46" i="4"/>
  <c r="E45" i="4"/>
  <c r="E44" i="4"/>
  <c r="E43" i="4"/>
  <c r="E42" i="4"/>
  <c r="E41" i="4"/>
  <c r="E40" i="4"/>
  <c r="E39" i="4"/>
  <c r="E38" i="4"/>
  <c r="E37" i="4"/>
  <c r="E36" i="4"/>
  <c r="E35" i="4"/>
  <c r="E34" i="4"/>
  <c r="E33" i="4"/>
  <c r="E32" i="4"/>
  <c r="E31" i="4"/>
  <c r="E30" i="4"/>
  <c r="E29" i="4"/>
  <c r="E28" i="4"/>
  <c r="E27" i="4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E7" i="4"/>
  <c r="E6" i="4"/>
  <c r="E5" i="4"/>
  <c r="W5" i="3"/>
  <c r="W5" i="2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E22" i="1"/>
  <c r="H21" i="1"/>
  <c r="E21" i="1"/>
  <c r="H20" i="1"/>
  <c r="E20" i="1"/>
  <c r="R19" i="1"/>
  <c r="O19" i="1"/>
  <c r="S19" i="1" s="1"/>
  <c r="N19" i="1"/>
  <c r="H19" i="1"/>
  <c r="F19" i="1"/>
  <c r="G19" i="1" s="1"/>
  <c r="O18" i="1"/>
  <c r="R18" i="1" s="1"/>
  <c r="N18" i="1"/>
  <c r="S18" i="1" s="1"/>
  <c r="H18" i="1"/>
  <c r="O17" i="1"/>
  <c r="R17" i="1" s="1"/>
  <c r="N17" i="1"/>
  <c r="S17" i="1" s="1"/>
  <c r="H17" i="1"/>
  <c r="O16" i="1"/>
  <c r="R16" i="1" s="1"/>
  <c r="N16" i="1"/>
  <c r="S16" i="1" s="1"/>
  <c r="H16" i="1"/>
  <c r="O15" i="1"/>
  <c r="R15" i="1" s="1"/>
  <c r="N15" i="1"/>
  <c r="S15" i="1" s="1"/>
  <c r="H15" i="1"/>
  <c r="O14" i="1"/>
  <c r="R14" i="1" s="1"/>
  <c r="N14" i="1"/>
  <c r="S14" i="1" s="1"/>
  <c r="H14" i="1"/>
  <c r="O13" i="1"/>
  <c r="R13" i="1" s="1"/>
  <c r="N13" i="1"/>
  <c r="S13" i="1" s="1"/>
  <c r="H13" i="1"/>
  <c r="O12" i="1"/>
  <c r="R12" i="1" s="1"/>
  <c r="N12" i="1"/>
  <c r="S12" i="1" s="1"/>
  <c r="H12" i="1"/>
  <c r="O11" i="1"/>
  <c r="R11" i="1" s="1"/>
  <c r="N11" i="1"/>
  <c r="S11" i="1" s="1"/>
  <c r="H11" i="1"/>
  <c r="O10" i="1"/>
  <c r="R10" i="1" s="1"/>
  <c r="N10" i="1"/>
  <c r="S10" i="1" s="1"/>
  <c r="H10" i="1"/>
  <c r="R9" i="1"/>
  <c r="O9" i="1"/>
  <c r="N9" i="1"/>
  <c r="S9" i="1" s="1"/>
  <c r="H9" i="1"/>
  <c r="R8" i="1"/>
  <c r="O8" i="1"/>
  <c r="N8" i="1"/>
  <c r="S8" i="1" s="1"/>
  <c r="H8" i="1"/>
  <c r="R7" i="1"/>
  <c r="O7" i="1"/>
  <c r="N7" i="1"/>
  <c r="S7" i="1" s="1"/>
  <c r="H7" i="1"/>
  <c r="R6" i="1"/>
  <c r="O6" i="1"/>
  <c r="N6" i="1"/>
  <c r="S6" i="1" s="1"/>
  <c r="H6" i="1"/>
  <c r="W5" i="1"/>
  <c r="R5" i="1"/>
  <c r="O5" i="1"/>
  <c r="N5" i="1"/>
  <c r="S5" i="1" s="1"/>
  <c r="H5" i="1"/>
  <c r="K4" i="1"/>
  <c r="M4" i="1" s="1"/>
  <c r="J4" i="1"/>
  <c r="I4" i="1"/>
  <c r="H4" i="1"/>
  <c r="N20" i="1" l="1"/>
  <c r="F20" i="1"/>
  <c r="G20" i="1" s="1"/>
  <c r="O20" i="1"/>
  <c r="R20" i="1" s="1"/>
  <c r="E23" i="1"/>
  <c r="L4" i="1"/>
  <c r="P4" i="1" s="1"/>
  <c r="O21" i="1" l="1"/>
  <c r="N21" i="1"/>
  <c r="S21" i="1" s="1"/>
  <c r="F21" i="1"/>
  <c r="G21" i="1" s="1"/>
  <c r="E24" i="1"/>
  <c r="I5" i="1"/>
  <c r="Q4" i="1"/>
  <c r="S20" i="1"/>
  <c r="O22" i="1" l="1"/>
  <c r="R22" i="1" s="1"/>
  <c r="N22" i="1"/>
  <c r="S22" i="1" s="1"/>
  <c r="F22" i="1"/>
  <c r="G22" i="1" s="1"/>
  <c r="J5" i="1"/>
  <c r="K5" i="1"/>
  <c r="E25" i="1"/>
  <c r="R21" i="1"/>
  <c r="M5" i="1" l="1"/>
  <c r="P5" i="1"/>
  <c r="L5" i="1"/>
  <c r="E26" i="1"/>
  <c r="O23" i="1"/>
  <c r="R23" i="1" s="1"/>
  <c r="F23" i="1"/>
  <c r="G23" i="1" s="1"/>
  <c r="N23" i="1"/>
  <c r="S23" i="1" l="1"/>
  <c r="E27" i="1"/>
  <c r="Q5" i="1"/>
  <c r="I6" i="1"/>
  <c r="N24" i="1"/>
  <c r="F24" i="1"/>
  <c r="G24" i="1" s="1"/>
  <c r="O24" i="1"/>
  <c r="R24" i="1" s="1"/>
  <c r="S24" i="1" l="1"/>
  <c r="E28" i="1"/>
  <c r="O25" i="1"/>
  <c r="N25" i="1"/>
  <c r="F25" i="1"/>
  <c r="G25" i="1" s="1"/>
  <c r="K6" i="1"/>
  <c r="J6" i="1"/>
  <c r="O26" i="1" l="1"/>
  <c r="R26" i="1" s="1"/>
  <c r="N26" i="1"/>
  <c r="F26" i="1"/>
  <c r="G26" i="1" s="1"/>
  <c r="S25" i="1"/>
  <c r="E29" i="1"/>
  <c r="P6" i="1"/>
  <c r="L6" i="1"/>
  <c r="M6" i="1"/>
  <c r="R25" i="1"/>
  <c r="E30" i="1" l="1"/>
  <c r="O27" i="1"/>
  <c r="R27" i="1" s="1"/>
  <c r="N27" i="1"/>
  <c r="F27" i="1"/>
  <c r="G27" i="1" s="1"/>
  <c r="Q6" i="1"/>
  <c r="I7" i="1"/>
  <c r="S26" i="1"/>
  <c r="K7" i="1" l="1"/>
  <c r="J7" i="1"/>
  <c r="N28" i="1"/>
  <c r="S28" i="1" s="1"/>
  <c r="F28" i="1"/>
  <c r="G28" i="1" s="1"/>
  <c r="O28" i="1"/>
  <c r="R28" i="1" s="1"/>
  <c r="S27" i="1"/>
  <c r="E31" i="1"/>
  <c r="L7" i="1" l="1"/>
  <c r="P7" i="1" s="1"/>
  <c r="M7" i="1"/>
  <c r="E32" i="1"/>
  <c r="O29" i="1"/>
  <c r="N29" i="1"/>
  <c r="F29" i="1"/>
  <c r="G29" i="1" s="1"/>
  <c r="Q7" i="1" l="1"/>
  <c r="I8" i="1"/>
  <c r="O30" i="1"/>
  <c r="N30" i="1"/>
  <c r="S30" i="1" s="1"/>
  <c r="F30" i="1"/>
  <c r="G30" i="1" s="1"/>
  <c r="S29" i="1"/>
  <c r="R29" i="1"/>
  <c r="E33" i="1"/>
  <c r="R30" i="1" l="1"/>
  <c r="E34" i="1"/>
  <c r="K8" i="1"/>
  <c r="J8" i="1"/>
  <c r="O31" i="1"/>
  <c r="F31" i="1"/>
  <c r="G31" i="1" s="1"/>
  <c r="N31" i="1"/>
  <c r="N32" i="1" l="1"/>
  <c r="F32" i="1"/>
  <c r="G32" i="1" s="1"/>
  <c r="O32" i="1"/>
  <c r="E35" i="1"/>
  <c r="L8" i="1"/>
  <c r="P8" i="1" s="1"/>
  <c r="M8" i="1"/>
  <c r="R31" i="1"/>
  <c r="S31" i="1"/>
  <c r="Q8" i="1" l="1"/>
  <c r="I9" i="1"/>
  <c r="E36" i="1"/>
  <c r="S32" i="1"/>
  <c r="O33" i="1"/>
  <c r="R33" i="1" s="1"/>
  <c r="N33" i="1"/>
  <c r="F33" i="1"/>
  <c r="G33" i="1" s="1"/>
  <c r="R32" i="1"/>
  <c r="O34" i="1" l="1"/>
  <c r="N34" i="1"/>
  <c r="F34" i="1"/>
  <c r="G34" i="1" s="1"/>
  <c r="E37" i="1"/>
  <c r="K9" i="1"/>
  <c r="J9" i="1"/>
  <c r="S33" i="1"/>
  <c r="L9" i="1" l="1"/>
  <c r="P9" i="1" s="1"/>
  <c r="M9" i="1"/>
  <c r="S34" i="1"/>
  <c r="O35" i="1"/>
  <c r="N35" i="1"/>
  <c r="S35" i="1" s="1"/>
  <c r="F35" i="1"/>
  <c r="G35" i="1" s="1"/>
  <c r="R34" i="1"/>
  <c r="E38" i="1"/>
  <c r="Q9" i="1" l="1"/>
  <c r="I10" i="1"/>
  <c r="N36" i="1"/>
  <c r="F36" i="1"/>
  <c r="G36" i="1" s="1"/>
  <c r="O36" i="1"/>
  <c r="R36" i="1" s="1"/>
  <c r="R35" i="1"/>
  <c r="O37" i="1" l="1"/>
  <c r="N37" i="1"/>
  <c r="F37" i="1"/>
  <c r="G37" i="1" s="1"/>
  <c r="K10" i="1"/>
  <c r="J10" i="1"/>
  <c r="S36" i="1"/>
  <c r="O38" i="1" l="1"/>
  <c r="N38" i="1"/>
  <c r="F38" i="1"/>
  <c r="G38" i="1" s="1"/>
  <c r="S37" i="1"/>
  <c r="P10" i="1"/>
  <c r="L10" i="1"/>
  <c r="M10" i="1"/>
  <c r="R37" i="1"/>
  <c r="R38" i="1" l="1"/>
  <c r="N39" i="1"/>
  <c r="S39" i="1" s="1"/>
  <c r="F39" i="1"/>
  <c r="G39" i="1" s="1"/>
  <c r="O39" i="1"/>
  <c r="R39" i="1" s="1"/>
  <c r="I11" i="1"/>
  <c r="Q10" i="1"/>
  <c r="S38" i="1"/>
  <c r="K11" i="1" l="1"/>
  <c r="J11" i="1"/>
  <c r="O40" i="1"/>
  <c r="R40" i="1" s="1"/>
  <c r="N40" i="1"/>
  <c r="S40" i="1" s="1"/>
  <c r="F40" i="1"/>
  <c r="G40" i="1" s="1"/>
  <c r="L11" i="1" l="1"/>
  <c r="P11" i="1" s="1"/>
  <c r="M11" i="1"/>
  <c r="N41" i="1"/>
  <c r="S41" i="1" s="1"/>
  <c r="F41" i="1"/>
  <c r="G41" i="1" s="1"/>
  <c r="O41" i="1"/>
  <c r="R41" i="1" s="1"/>
  <c r="I12" i="1" l="1"/>
  <c r="Q11" i="1"/>
  <c r="O42" i="1"/>
  <c r="R42" i="1" s="1"/>
  <c r="N42" i="1"/>
  <c r="S42" i="1" s="1"/>
  <c r="F42" i="1"/>
  <c r="G42" i="1" s="1"/>
  <c r="K12" i="1" l="1"/>
  <c r="J12" i="1"/>
  <c r="N43" i="1"/>
  <c r="F43" i="1"/>
  <c r="G43" i="1" s="1"/>
  <c r="O43" i="1"/>
  <c r="R43" i="1" s="1"/>
  <c r="O44" i="1" l="1"/>
  <c r="N44" i="1"/>
  <c r="F44" i="1"/>
  <c r="G44" i="1" s="1"/>
  <c r="L12" i="1"/>
  <c r="P12" i="1" s="1"/>
  <c r="M12" i="1"/>
  <c r="S43" i="1"/>
  <c r="Q12" i="1" l="1"/>
  <c r="I13" i="1"/>
  <c r="S44" i="1"/>
  <c r="N45" i="1"/>
  <c r="F45" i="1"/>
  <c r="G45" i="1" s="1"/>
  <c r="O45" i="1"/>
  <c r="R45" i="1" s="1"/>
  <c r="R44" i="1"/>
  <c r="S45" i="1" l="1"/>
  <c r="O46" i="1"/>
  <c r="N46" i="1"/>
  <c r="F46" i="1"/>
  <c r="G46" i="1" s="1"/>
  <c r="K13" i="1"/>
  <c r="J13" i="1"/>
  <c r="R46" i="1" l="1"/>
  <c r="N47" i="1"/>
  <c r="F47" i="1"/>
  <c r="G47" i="1" s="1"/>
  <c r="O47" i="1"/>
  <c r="L13" i="1"/>
  <c r="P13" i="1" s="1"/>
  <c r="M13" i="1"/>
  <c r="S46" i="1"/>
  <c r="I14" i="1" l="1"/>
  <c r="Q13" i="1"/>
  <c r="O48" i="1"/>
  <c r="N48" i="1"/>
  <c r="S48" i="1" s="1"/>
  <c r="F48" i="1"/>
  <c r="G48" i="1" s="1"/>
  <c r="S47" i="1"/>
  <c r="R47" i="1"/>
  <c r="N49" i="1" l="1"/>
  <c r="F49" i="1"/>
  <c r="G49" i="1" s="1"/>
  <c r="O49" i="1"/>
  <c r="R49" i="1" s="1"/>
  <c r="R48" i="1"/>
  <c r="K14" i="1"/>
  <c r="J14" i="1"/>
  <c r="O50" i="1" l="1"/>
  <c r="N50" i="1"/>
  <c r="S50" i="1" s="1"/>
  <c r="F50" i="1"/>
  <c r="G50" i="1" s="1"/>
  <c r="L14" i="1"/>
  <c r="P14" i="1" s="1"/>
  <c r="M14" i="1"/>
  <c r="S49" i="1"/>
  <c r="I15" i="1" l="1"/>
  <c r="Q14" i="1"/>
  <c r="N51" i="1"/>
  <c r="F51" i="1"/>
  <c r="G51" i="1" s="1"/>
  <c r="O51" i="1"/>
  <c r="R50" i="1"/>
  <c r="R51" i="1" l="1"/>
  <c r="O52" i="1"/>
  <c r="R52" i="1" s="1"/>
  <c r="N52" i="1"/>
  <c r="F52" i="1"/>
  <c r="G52" i="1" s="1"/>
  <c r="S51" i="1"/>
  <c r="K15" i="1"/>
  <c r="J15" i="1"/>
  <c r="N53" i="1" l="1"/>
  <c r="F53" i="1"/>
  <c r="G53" i="1" s="1"/>
  <c r="O53" i="1"/>
  <c r="R53" i="1" s="1"/>
  <c r="L15" i="1"/>
  <c r="P15" i="1" s="1"/>
  <c r="M15" i="1"/>
  <c r="S52" i="1"/>
  <c r="I16" i="1" l="1"/>
  <c r="Q15" i="1"/>
  <c r="O54" i="1"/>
  <c r="N54" i="1"/>
  <c r="S54" i="1" s="1"/>
  <c r="F54" i="1"/>
  <c r="G54" i="1" s="1"/>
  <c r="S53" i="1"/>
  <c r="N55" i="1" l="1"/>
  <c r="F55" i="1"/>
  <c r="G55" i="1" s="1"/>
  <c r="O55" i="1"/>
  <c r="R55" i="1" s="1"/>
  <c r="R54" i="1"/>
  <c r="K16" i="1"/>
  <c r="J16" i="1"/>
  <c r="L16" i="1" l="1"/>
  <c r="P16" i="1" s="1"/>
  <c r="M16" i="1"/>
  <c r="S55" i="1"/>
  <c r="N56" i="1"/>
  <c r="S56" i="1" s="1"/>
  <c r="F56" i="1"/>
  <c r="G56" i="1" s="1"/>
  <c r="O56" i="1"/>
  <c r="R56" i="1" s="1"/>
  <c r="I17" i="1" l="1"/>
  <c r="Q16" i="1"/>
  <c r="O57" i="1"/>
  <c r="F57" i="1"/>
  <c r="G57" i="1" s="1"/>
  <c r="N57" i="1"/>
  <c r="S57" i="1" s="1"/>
  <c r="N58" i="1" l="1"/>
  <c r="F58" i="1"/>
  <c r="G58" i="1" s="1"/>
  <c r="O58" i="1"/>
  <c r="R58" i="1" s="1"/>
  <c r="R57" i="1"/>
  <c r="K17" i="1"/>
  <c r="J17" i="1"/>
  <c r="L17" i="1" l="1"/>
  <c r="P17" i="1" s="1"/>
  <c r="M17" i="1"/>
  <c r="S58" i="1"/>
  <c r="O59" i="1"/>
  <c r="N59" i="1"/>
  <c r="S59" i="1" s="1"/>
  <c r="F59" i="1"/>
  <c r="G59" i="1" s="1"/>
  <c r="I18" i="1" l="1"/>
  <c r="Q17" i="1"/>
  <c r="N60" i="1"/>
  <c r="F60" i="1"/>
  <c r="G60" i="1" s="1"/>
  <c r="O60" i="1"/>
  <c r="R59" i="1"/>
  <c r="S60" i="1" l="1"/>
  <c r="R60" i="1"/>
  <c r="O61" i="1"/>
  <c r="R61" i="1" s="1"/>
  <c r="N61" i="1"/>
  <c r="F61" i="1"/>
  <c r="G61" i="1" s="1"/>
  <c r="K18" i="1"/>
  <c r="J18" i="1"/>
  <c r="L18" i="1" l="1"/>
  <c r="P18" i="1" s="1"/>
  <c r="M18" i="1"/>
  <c r="O62" i="1"/>
  <c r="N62" i="1"/>
  <c r="F62" i="1"/>
  <c r="G62" i="1" s="1"/>
  <c r="S61" i="1"/>
  <c r="I19" i="1" l="1"/>
  <c r="Q18" i="1"/>
  <c r="O63" i="1"/>
  <c r="F63" i="1"/>
  <c r="G63" i="1" s="1"/>
  <c r="N63" i="1"/>
  <c r="S62" i="1"/>
  <c r="R62" i="1"/>
  <c r="S63" i="1" l="1"/>
  <c r="O64" i="1"/>
  <c r="R64" i="1" s="1"/>
  <c r="N64" i="1"/>
  <c r="F64" i="1"/>
  <c r="G64" i="1" s="1"/>
  <c r="R63" i="1"/>
  <c r="K19" i="1"/>
  <c r="J19" i="1"/>
  <c r="O65" i="1" l="1"/>
  <c r="F65" i="1"/>
  <c r="G65" i="1" s="1"/>
  <c r="N65" i="1"/>
  <c r="S65" i="1" s="1"/>
  <c r="M19" i="1"/>
  <c r="L19" i="1"/>
  <c r="P19" i="1" s="1"/>
  <c r="S64" i="1"/>
  <c r="Q19" i="1" l="1"/>
  <c r="I20" i="1"/>
  <c r="O66" i="1"/>
  <c r="N66" i="1"/>
  <c r="S66" i="1" s="1"/>
  <c r="F66" i="1"/>
  <c r="G66" i="1" s="1"/>
  <c r="R65" i="1"/>
  <c r="O67" i="1" l="1"/>
  <c r="R67" i="1" s="1"/>
  <c r="F67" i="1"/>
  <c r="G67" i="1" s="1"/>
  <c r="N67" i="1"/>
  <c r="S67" i="1" s="1"/>
  <c r="K20" i="1"/>
  <c r="J20" i="1"/>
  <c r="R66" i="1"/>
  <c r="M20" i="1" l="1"/>
  <c r="L20" i="1"/>
  <c r="P20" i="1" s="1"/>
  <c r="O68" i="1"/>
  <c r="R68" i="1" s="1"/>
  <c r="N68" i="1"/>
  <c r="S68" i="1" s="1"/>
  <c r="F68" i="1"/>
  <c r="G68" i="1" s="1"/>
  <c r="Q20" i="1" l="1"/>
  <c r="I21" i="1"/>
  <c r="O69" i="1"/>
  <c r="R69" i="1" s="1"/>
  <c r="F69" i="1"/>
  <c r="G69" i="1" s="1"/>
  <c r="N69" i="1"/>
  <c r="S69" i="1" s="1"/>
  <c r="K21" i="1" l="1"/>
  <c r="J21" i="1"/>
  <c r="M21" i="1" l="1"/>
  <c r="L21" i="1"/>
  <c r="P21" i="1" s="1"/>
  <c r="Q21" i="1" l="1"/>
  <c r="I22" i="1"/>
  <c r="K22" i="1" l="1"/>
  <c r="J22" i="1"/>
  <c r="L22" i="1" l="1"/>
  <c r="P22" i="1" s="1"/>
  <c r="M22" i="1"/>
  <c r="I23" i="1" l="1"/>
  <c r="Q22" i="1"/>
  <c r="K23" i="1" l="1"/>
  <c r="J23" i="1"/>
  <c r="M23" i="1" l="1"/>
  <c r="P23" i="1"/>
  <c r="L23" i="1"/>
  <c r="Q23" i="1" l="1"/>
  <c r="I24" i="1"/>
  <c r="K24" i="1" l="1"/>
  <c r="J24" i="1"/>
  <c r="M24" i="1" l="1"/>
  <c r="L24" i="1"/>
  <c r="P24" i="1" s="1"/>
  <c r="Q24" i="1" l="1"/>
  <c r="I25" i="1"/>
  <c r="K25" i="1" l="1"/>
  <c r="J25" i="1"/>
  <c r="M25" i="1" l="1"/>
  <c r="L25" i="1"/>
  <c r="P25" i="1" s="1"/>
  <c r="Q25" i="1" l="1"/>
  <c r="I26" i="1"/>
  <c r="K26" i="1" l="1"/>
  <c r="J26" i="1"/>
  <c r="L26" i="1" l="1"/>
  <c r="P26" i="1" s="1"/>
  <c r="M26" i="1"/>
  <c r="I27" i="1" l="1"/>
  <c r="Q26" i="1"/>
  <c r="K27" i="1" l="1"/>
  <c r="J27" i="1"/>
  <c r="M27" i="1" l="1"/>
  <c r="P27" i="1" s="1"/>
  <c r="L27" i="1"/>
  <c r="Q27" i="1" l="1"/>
  <c r="I28" i="1"/>
  <c r="K28" i="1" l="1"/>
  <c r="J28" i="1"/>
  <c r="M28" i="1" l="1"/>
  <c r="L28" i="1"/>
  <c r="P28" i="1" s="1"/>
  <c r="Q28" i="1" l="1"/>
  <c r="I29" i="1"/>
  <c r="K29" i="1" l="1"/>
  <c r="J29" i="1"/>
  <c r="M29" i="1" l="1"/>
  <c r="L29" i="1"/>
  <c r="P29" i="1" s="1"/>
  <c r="Q29" i="1" l="1"/>
  <c r="I30" i="1"/>
  <c r="K30" i="1" l="1"/>
  <c r="J30" i="1"/>
  <c r="L30" i="1" l="1"/>
  <c r="P30" i="1" s="1"/>
  <c r="M30" i="1"/>
  <c r="I31" i="1" l="1"/>
  <c r="Q30" i="1"/>
  <c r="K31" i="1" l="1"/>
  <c r="J31" i="1"/>
  <c r="M31" i="1" l="1"/>
  <c r="L31" i="1"/>
  <c r="P31" i="1" s="1"/>
  <c r="Q31" i="1" l="1"/>
  <c r="I32" i="1"/>
  <c r="K32" i="1" l="1"/>
  <c r="J32" i="1"/>
  <c r="M32" i="1" l="1"/>
  <c r="L32" i="1"/>
  <c r="P32" i="1" s="1"/>
  <c r="Q32" i="1" l="1"/>
  <c r="I33" i="1"/>
  <c r="K33" i="1" l="1"/>
  <c r="J33" i="1"/>
  <c r="M33" i="1" l="1"/>
  <c r="L33" i="1"/>
  <c r="P33" i="1" s="1"/>
  <c r="Q33" i="1" l="1"/>
  <c r="I34" i="1"/>
  <c r="K34" i="1" l="1"/>
  <c r="J34" i="1"/>
  <c r="L34" i="1" l="1"/>
  <c r="P34" i="1" s="1"/>
  <c r="M34" i="1"/>
  <c r="I35" i="1" l="1"/>
  <c r="Q34" i="1"/>
  <c r="K35" i="1" l="1"/>
  <c r="J35" i="1"/>
  <c r="M35" i="1" l="1"/>
  <c r="P35" i="1" s="1"/>
  <c r="L35" i="1"/>
  <c r="Q35" i="1" l="1"/>
  <c r="I36" i="1"/>
  <c r="K36" i="1" l="1"/>
  <c r="J36" i="1"/>
  <c r="M36" i="1" l="1"/>
  <c r="L36" i="1"/>
  <c r="P36" i="1" s="1"/>
  <c r="Q36" i="1" l="1"/>
  <c r="I37" i="1"/>
  <c r="K37" i="1" l="1"/>
  <c r="J37" i="1"/>
  <c r="M37" i="1" l="1"/>
  <c r="L37" i="1"/>
  <c r="P37" i="1"/>
  <c r="Q37" i="1" l="1"/>
  <c r="I38" i="1"/>
  <c r="K38" i="1" l="1"/>
  <c r="J38" i="1"/>
  <c r="L38" i="1" l="1"/>
  <c r="P38" i="1" s="1"/>
  <c r="M38" i="1"/>
  <c r="I39" i="1" l="1"/>
  <c r="Q38" i="1"/>
  <c r="K39" i="1" l="1"/>
  <c r="J39" i="1"/>
  <c r="M39" i="1" l="1"/>
  <c r="P39" i="1" s="1"/>
  <c r="L39" i="1"/>
  <c r="Q39" i="1" l="1"/>
  <c r="I40" i="1"/>
  <c r="K40" i="1" l="1"/>
  <c r="J40" i="1"/>
  <c r="L40" i="1" l="1"/>
  <c r="P40" i="1" s="1"/>
  <c r="M40" i="1"/>
  <c r="I41" i="1" l="1"/>
  <c r="Q40" i="1"/>
  <c r="K41" i="1" l="1"/>
  <c r="J41" i="1"/>
  <c r="M41" i="1" l="1"/>
  <c r="P41" i="1" s="1"/>
  <c r="L41" i="1"/>
  <c r="Q41" i="1" l="1"/>
  <c r="I42" i="1"/>
  <c r="K42" i="1" l="1"/>
  <c r="J42" i="1"/>
  <c r="L42" i="1" l="1"/>
  <c r="P42" i="1" s="1"/>
  <c r="M42" i="1"/>
  <c r="I43" i="1" l="1"/>
  <c r="Q42" i="1"/>
  <c r="K43" i="1" l="1"/>
  <c r="J43" i="1"/>
  <c r="M43" i="1" l="1"/>
  <c r="L43" i="1"/>
  <c r="P43" i="1" s="1"/>
  <c r="Q43" i="1" l="1"/>
  <c r="I44" i="1"/>
  <c r="K44" i="1" l="1"/>
  <c r="J44" i="1"/>
  <c r="L44" i="1" l="1"/>
  <c r="P44" i="1" s="1"/>
  <c r="M44" i="1"/>
  <c r="I45" i="1" l="1"/>
  <c r="Q44" i="1"/>
  <c r="K45" i="1" l="1"/>
  <c r="J45" i="1"/>
  <c r="M45" i="1" l="1"/>
  <c r="L45" i="1"/>
  <c r="P45" i="1" s="1"/>
  <c r="Q45" i="1" l="1"/>
  <c r="I46" i="1"/>
  <c r="K46" i="1" l="1"/>
  <c r="J46" i="1"/>
  <c r="L46" i="1" l="1"/>
  <c r="P46" i="1" s="1"/>
  <c r="M46" i="1"/>
  <c r="I47" i="1" l="1"/>
  <c r="Q46" i="1"/>
  <c r="K47" i="1" l="1"/>
  <c r="J47" i="1"/>
  <c r="M47" i="1" l="1"/>
  <c r="L47" i="1"/>
  <c r="P47" i="1" s="1"/>
  <c r="Q47" i="1" l="1"/>
  <c r="I48" i="1"/>
  <c r="K48" i="1" l="1"/>
  <c r="J48" i="1"/>
  <c r="L48" i="1" l="1"/>
  <c r="P48" i="1" s="1"/>
  <c r="M48" i="1"/>
  <c r="I49" i="1" l="1"/>
  <c r="Q48" i="1"/>
  <c r="K49" i="1" l="1"/>
  <c r="J49" i="1"/>
  <c r="M49" i="1" l="1"/>
  <c r="L49" i="1"/>
  <c r="P49" i="1" s="1"/>
  <c r="Q49" i="1" l="1"/>
  <c r="I50" i="1"/>
  <c r="K50" i="1" l="1"/>
  <c r="J50" i="1"/>
  <c r="L50" i="1" l="1"/>
  <c r="P50" i="1" s="1"/>
  <c r="M50" i="1"/>
  <c r="I51" i="1" l="1"/>
  <c r="Q50" i="1"/>
  <c r="K51" i="1" l="1"/>
  <c r="J51" i="1"/>
  <c r="M51" i="1" l="1"/>
  <c r="P51" i="1" s="1"/>
  <c r="L51" i="1"/>
  <c r="Q51" i="1" l="1"/>
  <c r="I52" i="1"/>
  <c r="K52" i="1" l="1"/>
  <c r="J52" i="1"/>
  <c r="L52" i="1" l="1"/>
  <c r="P52" i="1" s="1"/>
  <c r="M52" i="1"/>
  <c r="I53" i="1" l="1"/>
  <c r="Q52" i="1"/>
  <c r="K53" i="1" l="1"/>
  <c r="J53" i="1"/>
  <c r="M53" i="1" l="1"/>
  <c r="P53" i="1"/>
  <c r="L53" i="1"/>
  <c r="Q53" i="1" l="1"/>
  <c r="I54" i="1"/>
  <c r="K54" i="1" l="1"/>
  <c r="J54" i="1"/>
  <c r="L54" i="1" l="1"/>
  <c r="P54" i="1" s="1"/>
  <c r="M54" i="1"/>
  <c r="I55" i="1" l="1"/>
  <c r="Q54" i="1"/>
  <c r="K55" i="1" l="1"/>
  <c r="J55" i="1"/>
  <c r="M55" i="1" l="1"/>
  <c r="L55" i="1"/>
  <c r="P55" i="1" s="1"/>
  <c r="I56" i="1" l="1"/>
  <c r="Q55" i="1"/>
  <c r="K56" i="1" l="1"/>
  <c r="J56" i="1"/>
  <c r="M56" i="1" l="1"/>
  <c r="L56" i="1"/>
  <c r="P56" i="1" s="1"/>
  <c r="Q56" i="1" l="1"/>
  <c r="I57" i="1"/>
  <c r="K57" i="1" l="1"/>
  <c r="J57" i="1"/>
  <c r="L57" i="1" l="1"/>
  <c r="P57" i="1" s="1"/>
  <c r="M57" i="1"/>
  <c r="I58" i="1" l="1"/>
  <c r="Q57" i="1"/>
  <c r="K58" i="1" l="1"/>
  <c r="J58" i="1"/>
  <c r="M58" i="1" l="1"/>
  <c r="L58" i="1"/>
  <c r="P58" i="1"/>
  <c r="Q58" i="1" l="1"/>
  <c r="I59" i="1"/>
  <c r="K59" i="1" l="1"/>
  <c r="J59" i="1"/>
  <c r="L59" i="1" l="1"/>
  <c r="P59" i="1" s="1"/>
  <c r="M59" i="1"/>
  <c r="I60" i="1" l="1"/>
  <c r="Q59" i="1"/>
  <c r="K60" i="1" l="1"/>
  <c r="J60" i="1"/>
  <c r="M60" i="1" l="1"/>
  <c r="L60" i="1"/>
  <c r="P60" i="1" s="1"/>
  <c r="Q60" i="1" l="1"/>
  <c r="I61" i="1"/>
  <c r="K61" i="1" l="1"/>
  <c r="J61" i="1"/>
  <c r="L61" i="1" l="1"/>
  <c r="P61" i="1" s="1"/>
  <c r="M61" i="1"/>
  <c r="I62" i="1" l="1"/>
  <c r="Q61" i="1"/>
  <c r="K62" i="1" l="1"/>
  <c r="J62" i="1"/>
  <c r="M62" i="1" l="1"/>
  <c r="L62" i="1"/>
  <c r="P62" i="1"/>
  <c r="I63" i="1" l="1"/>
  <c r="Q62" i="1"/>
  <c r="K63" i="1" l="1"/>
  <c r="J63" i="1"/>
  <c r="M63" i="1" l="1"/>
  <c r="L63" i="1"/>
  <c r="P63" i="1" s="1"/>
  <c r="Q63" i="1" l="1"/>
  <c r="I64" i="1"/>
  <c r="K64" i="1" l="1"/>
  <c r="J64" i="1"/>
  <c r="M64" i="1" l="1"/>
  <c r="L64" i="1"/>
  <c r="P64" i="1"/>
  <c r="I65" i="1" l="1"/>
  <c r="Q64" i="1"/>
  <c r="K65" i="1" l="1"/>
  <c r="J65" i="1"/>
  <c r="M65" i="1" l="1"/>
  <c r="L65" i="1"/>
  <c r="P65" i="1" s="1"/>
  <c r="Q65" i="1" l="1"/>
  <c r="I66" i="1"/>
  <c r="K66" i="1" l="1"/>
  <c r="J66" i="1"/>
  <c r="M66" i="1" l="1"/>
  <c r="L66" i="1"/>
  <c r="P66" i="1"/>
  <c r="I67" i="1" l="1"/>
  <c r="Q66" i="1"/>
  <c r="K67" i="1" l="1"/>
  <c r="J67" i="1"/>
  <c r="M67" i="1" l="1"/>
  <c r="L67" i="1"/>
  <c r="P67" i="1" s="1"/>
  <c r="Q67" i="1" l="1"/>
  <c r="I68" i="1"/>
  <c r="K68" i="1" l="1"/>
  <c r="J68" i="1"/>
  <c r="M68" i="1" l="1"/>
  <c r="L68" i="1"/>
  <c r="P68" i="1"/>
  <c r="I69" i="1" l="1"/>
  <c r="Q68" i="1"/>
  <c r="K69" i="1" l="1"/>
  <c r="J69" i="1"/>
  <c r="J71" i="1" s="1"/>
  <c r="M69" i="1" l="1"/>
  <c r="L69" i="1"/>
  <c r="P69" i="1" s="1"/>
  <c r="Q69" i="1" s="1"/>
  <c r="Q71" i="1" s="1"/>
  <c r="J71" i="2"/>
  <c r="J71" i="3"/>
  <c r="Q71" i="2" l="1"/>
  <c r="Q71" i="3"/>
</calcChain>
</file>

<file path=xl/sharedStrings.xml><?xml version="1.0" encoding="utf-8"?>
<sst xmlns="http://schemas.openxmlformats.org/spreadsheetml/2006/main" count="150" uniqueCount="53">
  <si>
    <t>Loan Charged Rate</t>
  </si>
  <si>
    <t>Bonus Fee %</t>
  </si>
  <si>
    <t>Index Credit Rate</t>
  </si>
  <si>
    <t>Cap Interest at 1% inclusive of all Credits</t>
  </si>
  <si>
    <t>No</t>
  </si>
  <si>
    <t xml:space="preserve">Total Return = (Bonus on Loan Balance </t>
  </si>
  <si>
    <t>Fixed bonus start year</t>
  </si>
  <si>
    <t xml:space="preserve"> plus Index Credit on Loan Balance)</t>
  </si>
  <si>
    <t>Total</t>
  </si>
  <si>
    <t>Policy Year</t>
  </si>
  <si>
    <t>BOY Age</t>
  </si>
  <si>
    <t>Premium Outlay</t>
  </si>
  <si>
    <t>Annual Loan Amount</t>
  </si>
  <si>
    <t>Loan Interest</t>
  </si>
  <si>
    <t>Total Loan Balance</t>
  </si>
  <si>
    <t>Policy Charges</t>
  </si>
  <si>
    <t>Index Asset Fee</t>
  </si>
  <si>
    <t>CSV Prior to bonus</t>
  </si>
  <si>
    <t>Accumulation Value Prior to Bonus and Credits</t>
  </si>
  <si>
    <t>Bonus Interest on Unloaned AV</t>
  </si>
  <si>
    <t>Interest Earned Unload AV</t>
  </si>
  <si>
    <t>Bonus Interest on Loaned AV</t>
  </si>
  <si>
    <t>Interest Earned on Loaned AV</t>
  </si>
  <si>
    <t>EOY AV</t>
  </si>
  <si>
    <t>EOY CSV</t>
  </si>
  <si>
    <t>Interest on loand AV less Loan Charged Rate</t>
  </si>
  <si>
    <t>Total Return on loand AV less Loan Charged Rate</t>
  </si>
  <si>
    <t>CV IRR</t>
  </si>
  <si>
    <t>Yes</t>
  </si>
  <si>
    <t>NO</t>
  </si>
  <si>
    <t>Loan Amount</t>
  </si>
  <si>
    <t>Cash Surrender Value</t>
  </si>
  <si>
    <t>Policy with No Fixed Interest Bonus</t>
  </si>
  <si>
    <t>Policy with a 0.50% Fixed Interest Bonus</t>
  </si>
  <si>
    <t>Loan Option #1</t>
  </si>
  <si>
    <t>Loan Option #2</t>
  </si>
  <si>
    <t>Accumulation Value</t>
  </si>
  <si>
    <t>Issue age 55</t>
  </si>
  <si>
    <t>$35,000 annual premium for 15 years</t>
  </si>
  <si>
    <t>None</t>
  </si>
  <si>
    <t>Bonus or Mutiplier</t>
  </si>
  <si>
    <t>Fixed Bonus (0) or Multiplier (1) Indicator</t>
  </si>
  <si>
    <t>Cap Interest at 0.5% inclusive of all Credits</t>
  </si>
  <si>
    <t>62,482*</t>
  </si>
  <si>
    <t>*Same results as "Option 2" because here "Option 3" effectively shows 1% loan leverage.</t>
  </si>
  <si>
    <t>Illustration of Loan Options</t>
  </si>
  <si>
    <r>
      <t xml:space="preserve">Example shows impact of non-indexed bonuses under different AG49 loan options </t>
    </r>
    <r>
      <rPr>
        <b/>
        <sz val="11"/>
        <color rgb="FFFF0000"/>
        <rFont val="Calibri"/>
        <family val="2"/>
        <scheme val="minor"/>
      </rPr>
      <t>– differences from Option 2 (Recommendation) in red.</t>
    </r>
  </si>
  <si>
    <t>Bonus not linked to index performance -illustrative examples, future designs may be higher</t>
  </si>
  <si>
    <t>6% Index Interest Credit - Option 1 &amp; 2 (Option 3 only 5.5%) ;  5% Loan Charge</t>
  </si>
  <si>
    <t>Recommendation:                  
Option 2 (Bonus applied to non-loaned AV only; limited to 100 bp loan leverage)</t>
  </si>
  <si>
    <r>
      <t xml:space="preserve">Option 3 (Bonus applied to non-loaned AV </t>
    </r>
    <r>
      <rPr>
        <b/>
        <u/>
        <sz val="11"/>
        <color rgb="FFFF0000"/>
        <rFont val="Calibri"/>
        <family val="2"/>
        <scheme val="minor"/>
      </rPr>
      <t>and loaned AV in excess of 50 bp</t>
    </r>
    <r>
      <rPr>
        <b/>
        <u/>
        <sz val="11"/>
        <color theme="1"/>
        <rFont val="Calibri"/>
        <family val="2"/>
        <scheme val="minor"/>
      </rPr>
      <t xml:space="preserve"> loan leverage)</t>
    </r>
  </si>
  <si>
    <r>
      <t xml:space="preserve">Option 1 (Bonus applied to non-loaned AV </t>
    </r>
    <r>
      <rPr>
        <b/>
        <u/>
        <sz val="11"/>
        <color rgb="FFFF0000"/>
        <rFont val="Calibri"/>
        <family val="2"/>
        <scheme val="minor"/>
      </rPr>
      <t>and loaned AV in excess of 100 bp</t>
    </r>
    <r>
      <rPr>
        <b/>
        <u/>
        <sz val="11"/>
        <color theme="1"/>
        <rFont val="Calibri"/>
        <family val="2"/>
        <scheme val="minor"/>
      </rPr>
      <t xml:space="preserve"> loan leverage)</t>
    </r>
  </si>
  <si>
    <t>20 years of annual loans starting in policy year 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</si>
</sst>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.0%"/>
    <numFmt numFmtId="166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0" fillId="2" borderId="0" xfId="0" applyFill="1"/>
    <xf numFmtId="9" fontId="0" fillId="0" borderId="0" xfId="0" applyNumberFormat="1"/>
    <xf numFmtId="9" fontId="0" fillId="2" borderId="0" xfId="0" applyNumberFormat="1" applyFill="1"/>
    <xf numFmtId="164" fontId="0" fillId="0" borderId="0" xfId="1" applyNumberFormat="1" applyFont="1"/>
    <xf numFmtId="44" fontId="0" fillId="0" borderId="0" xfId="1" applyNumberFormat="1" applyFont="1"/>
    <xf numFmtId="10" fontId="0" fillId="0" borderId="0" xfId="2" applyNumberFormat="1" applyFont="1"/>
    <xf numFmtId="0" fontId="0" fillId="0" borderId="0" xfId="1" applyNumberFormat="1" applyFont="1"/>
    <xf numFmtId="165" fontId="0" fillId="0" borderId="0" xfId="2" applyNumberFormat="1" applyFont="1"/>
    <xf numFmtId="164" fontId="0" fillId="0" borderId="0" xfId="0" applyNumberFormat="1"/>
    <xf numFmtId="165" fontId="0" fillId="0" borderId="0" xfId="0" applyNumberFormat="1"/>
    <xf numFmtId="10" fontId="0" fillId="2" borderId="0" xfId="0" applyNumberFormat="1" applyFill="1"/>
    <xf numFmtId="0" fontId="0" fillId="0" borderId="1" xfId="0" applyBorder="1"/>
    <xf numFmtId="164" fontId="0" fillId="3" borderId="0" xfId="1" applyNumberFormat="1" applyFont="1" applyFill="1"/>
    <xf numFmtId="0" fontId="3" fillId="0" borderId="0" xfId="0" applyFont="1"/>
    <xf numFmtId="0" fontId="0" fillId="0" borderId="3" xfId="0" applyBorder="1" applyAlignment="1">
      <alignment horizontal="center"/>
    </xf>
    <xf numFmtId="10" fontId="0" fillId="0" borderId="3" xfId="2" applyNumberFormat="1" applyFont="1" applyBorder="1" applyAlignment="1">
      <alignment horizontal="center"/>
    </xf>
    <xf numFmtId="0" fontId="3" fillId="0" borderId="3" xfId="0" applyFont="1" applyBorder="1" applyAlignment="1">
      <alignment horizontal="center" wrapText="1"/>
    </xf>
    <xf numFmtId="166" fontId="0" fillId="0" borderId="3" xfId="3" applyNumberFormat="1" applyFont="1" applyBorder="1"/>
    <xf numFmtId="166" fontId="0" fillId="0" borderId="3" xfId="3" applyNumberFormat="1" applyFont="1" applyBorder="1" applyAlignment="1">
      <alignment horizontal="right"/>
    </xf>
    <xf numFmtId="0" fontId="2" fillId="0" borderId="3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</cellXfs>
  <cellStyles count="4">
    <cellStyle name="Comma" xfId="3" builtinId="3"/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C8B494-FE08-408A-B07D-C633D1ADDA67}">
  <dimension ref="A2:Q70"/>
  <sheetViews>
    <sheetView workbookViewId="0">
      <selection activeCell="E31" sqref="E31"/>
    </sheetView>
  </sheetViews>
  <sheetFormatPr defaultRowHeight="14.5" x14ac:dyDescent="0.35"/>
  <cols>
    <col min="1" max="1" width="10.54296875" bestFit="1" customWidth="1"/>
    <col min="2" max="2" width="8.453125" bestFit="1" customWidth="1"/>
    <col min="3" max="3" width="15.7265625" bestFit="1" customWidth="1"/>
    <col min="4" max="4" width="3" customWidth="1"/>
    <col min="5" max="5" width="12.453125" customWidth="1"/>
    <col min="6" max="6" width="19" bestFit="1" customWidth="1"/>
    <col min="7" max="7" width="19.26953125" bestFit="1" customWidth="1"/>
    <col min="8" max="8" width="5.1796875" customWidth="1"/>
    <col min="9" max="10" width="14.26953125" customWidth="1"/>
    <col min="11" max="11" width="11.54296875" bestFit="1" customWidth="1"/>
    <col min="14" max="15" width="13.81640625" customWidth="1"/>
    <col min="16" max="16" width="11.54296875" bestFit="1" customWidth="1"/>
  </cols>
  <sheetData>
    <row r="2" spans="1:17" x14ac:dyDescent="0.35">
      <c r="I2" t="s">
        <v>33</v>
      </c>
      <c r="N2" t="s">
        <v>33</v>
      </c>
    </row>
    <row r="3" spans="1:17" x14ac:dyDescent="0.35">
      <c r="E3" t="s">
        <v>32</v>
      </c>
      <c r="I3" t="s">
        <v>34</v>
      </c>
      <c r="N3" t="s">
        <v>35</v>
      </c>
    </row>
    <row r="4" spans="1:17" x14ac:dyDescent="0.35">
      <c r="A4" s="12" t="s">
        <v>9</v>
      </c>
      <c r="B4" s="12" t="s">
        <v>10</v>
      </c>
      <c r="C4" s="12" t="s">
        <v>11</v>
      </c>
      <c r="D4" s="12"/>
      <c r="E4" s="12" t="s">
        <v>30</v>
      </c>
      <c r="F4" s="12" t="s">
        <v>36</v>
      </c>
      <c r="G4" s="12" t="s">
        <v>31</v>
      </c>
      <c r="H4" s="12"/>
      <c r="I4" s="12" t="s">
        <v>30</v>
      </c>
      <c r="J4" s="12" t="s">
        <v>36</v>
      </c>
      <c r="K4" s="12" t="s">
        <v>31</v>
      </c>
      <c r="L4" s="12"/>
      <c r="M4" s="12"/>
      <c r="N4" s="12" t="s">
        <v>30</v>
      </c>
      <c r="O4" s="12" t="s">
        <v>36</v>
      </c>
      <c r="P4" s="12" t="s">
        <v>31</v>
      </c>
      <c r="Q4" s="12"/>
    </row>
    <row r="5" spans="1:17" x14ac:dyDescent="0.35">
      <c r="A5">
        <v>1</v>
      </c>
      <c r="B5">
        <v>55</v>
      </c>
      <c r="C5" s="4">
        <v>35000</v>
      </c>
      <c r="E5" s="4">
        <f>'Policy with NO Fixed bonus'!E4</f>
        <v>0</v>
      </c>
      <c r="F5" s="4">
        <f>'Policy with NO Fixed bonus'!P4</f>
        <v>29678.41</v>
      </c>
      <c r="G5" s="4">
        <f>'Policy with NO Fixed bonus'!Q4</f>
        <v>29678.41</v>
      </c>
      <c r="I5" s="4">
        <f>'0.5% fixed bonus Loan Option #1'!E4</f>
        <v>0</v>
      </c>
      <c r="J5" s="4">
        <f>'0.5% fixed bonus Loan Option #1'!P4</f>
        <v>29818.4025</v>
      </c>
      <c r="K5" s="4">
        <f>'0.5% fixed bonus Loan Option #1'!Q4</f>
        <v>29818.4025</v>
      </c>
      <c r="N5" s="4">
        <f>'0.5% fixed bonus Loan Option #2'!E4</f>
        <v>0</v>
      </c>
      <c r="O5" s="4">
        <f>'0.5% fixed bonus Loan Option #2'!P4</f>
        <v>29818.4025</v>
      </c>
      <c r="P5" s="4">
        <f>'0.5% fixed bonus Loan Option #2'!Q4</f>
        <v>29818.4025</v>
      </c>
    </row>
    <row r="6" spans="1:17" x14ac:dyDescent="0.35">
      <c r="A6">
        <v>2</v>
      </c>
      <c r="B6">
        <v>56</v>
      </c>
      <c r="C6" s="4">
        <v>35000</v>
      </c>
      <c r="E6" s="4">
        <f>'Policy with NO Fixed bonus'!E5</f>
        <v>0</v>
      </c>
      <c r="F6" s="4">
        <f>'Policy with NO Fixed bonus'!P5</f>
        <v>60962.624600000003</v>
      </c>
      <c r="G6" s="4">
        <f>'Policy with NO Fixed bonus'!Q5</f>
        <v>60962.624600000003</v>
      </c>
      <c r="I6" s="4">
        <f>'0.5% fixed bonus Loan Option #1'!E5</f>
        <v>0</v>
      </c>
      <c r="J6" s="4">
        <f>'0.5% fixed bonus Loan Option #1'!P5</f>
        <v>61399.276162499998</v>
      </c>
      <c r="K6" s="4">
        <f>'0.5% fixed bonus Loan Option #1'!Q5</f>
        <v>61399.276162499998</v>
      </c>
      <c r="N6" s="4">
        <f>'0.5% fixed bonus Loan Option #2'!E5</f>
        <v>0</v>
      </c>
      <c r="O6" s="4">
        <f>'0.5% fixed bonus Loan Option #2'!P5</f>
        <v>61399.276162499998</v>
      </c>
      <c r="P6" s="4">
        <f>'0.5% fixed bonus Loan Option #2'!Q5</f>
        <v>61399.276162499998</v>
      </c>
    </row>
    <row r="7" spans="1:17" x14ac:dyDescent="0.35">
      <c r="A7">
        <v>3</v>
      </c>
      <c r="B7">
        <v>57</v>
      </c>
      <c r="C7" s="4">
        <v>35000</v>
      </c>
      <c r="E7" s="4">
        <f>'Policy with NO Fixed bonus'!E6</f>
        <v>0</v>
      </c>
      <c r="F7" s="4">
        <f>'Policy with NO Fixed bonus'!P6</f>
        <v>93926.838076</v>
      </c>
      <c r="G7" s="4">
        <f>'Policy with NO Fixed bonus'!Q6</f>
        <v>93926.838076</v>
      </c>
      <c r="I7" s="4">
        <f>'0.5% fixed bonus Loan Option #1'!E6</f>
        <v>0</v>
      </c>
      <c r="J7" s="4">
        <f>'0.5% fixed bonus Loan Option #1'!P6</f>
        <v>94834.923113062512</v>
      </c>
      <c r="K7" s="4">
        <f>'0.5% fixed bonus Loan Option #1'!Q6</f>
        <v>94834.923113062512</v>
      </c>
      <c r="N7" s="4">
        <f>'0.5% fixed bonus Loan Option #2'!E6</f>
        <v>0</v>
      </c>
      <c r="O7" s="4">
        <f>'0.5% fixed bonus Loan Option #2'!P6</f>
        <v>94834.923113062512</v>
      </c>
      <c r="P7" s="4">
        <f>'0.5% fixed bonus Loan Option #2'!Q6</f>
        <v>94834.923113062512</v>
      </c>
    </row>
    <row r="8" spans="1:17" x14ac:dyDescent="0.35">
      <c r="A8">
        <v>4</v>
      </c>
      <c r="B8">
        <v>58</v>
      </c>
      <c r="C8" s="4">
        <v>35000</v>
      </c>
      <c r="E8" s="4">
        <f>'Policy with NO Fixed bonus'!E7</f>
        <v>0</v>
      </c>
      <c r="F8" s="4">
        <f>'Policy with NO Fixed bonus'!P7</f>
        <v>128652.02836056</v>
      </c>
      <c r="G8" s="4">
        <f>'Policy with NO Fixed bonus'!Q7</f>
        <v>128652.02836056</v>
      </c>
      <c r="I8" s="4">
        <f>'0.5% fixed bonus Loan Option #1'!E7</f>
        <v>0</v>
      </c>
      <c r="J8" s="4">
        <f>'0.5% fixed bonus Loan Option #1'!P7</f>
        <v>130225.98811541157</v>
      </c>
      <c r="K8" s="4">
        <f>'0.5% fixed bonus Loan Option #1'!Q7</f>
        <v>130225.98811541157</v>
      </c>
      <c r="N8" s="4">
        <f>'0.5% fixed bonus Loan Option #2'!E7</f>
        <v>0</v>
      </c>
      <c r="O8" s="4">
        <f>'0.5% fixed bonus Loan Option #2'!P7</f>
        <v>130225.98811541157</v>
      </c>
      <c r="P8" s="4">
        <f>'0.5% fixed bonus Loan Option #2'!Q7</f>
        <v>130225.98811541157</v>
      </c>
    </row>
    <row r="9" spans="1:17" x14ac:dyDescent="0.35">
      <c r="A9">
        <v>5</v>
      </c>
      <c r="B9">
        <v>59</v>
      </c>
      <c r="C9" s="4">
        <v>35000</v>
      </c>
      <c r="E9" s="4">
        <f>'Policy with NO Fixed bonus'!E8</f>
        <v>0</v>
      </c>
      <c r="F9" s="4">
        <f>'Policy with NO Fixed bonus'!P8</f>
        <v>165214.7040621936</v>
      </c>
      <c r="G9" s="4">
        <f>'Policy with NO Fixed bonus'!Q8</f>
        <v>165214.7040621936</v>
      </c>
      <c r="I9" s="4">
        <f>'0.5% fixed bonus Loan Option #1'!E8</f>
        <v>0</v>
      </c>
      <c r="J9" s="4">
        <f>'0.5% fixed bonus Loan Option #1'!P8</f>
        <v>167670.28584291332</v>
      </c>
      <c r="K9" s="4">
        <f>'0.5% fixed bonus Loan Option #1'!Q8</f>
        <v>167670.28584291332</v>
      </c>
      <c r="N9" s="4">
        <f>'0.5% fixed bonus Loan Option #2'!E8</f>
        <v>0</v>
      </c>
      <c r="O9" s="4">
        <f>'0.5% fixed bonus Loan Option #2'!P8</f>
        <v>167670.28584291332</v>
      </c>
      <c r="P9" s="4">
        <f>'0.5% fixed bonus Loan Option #2'!Q8</f>
        <v>167670.28584291332</v>
      </c>
    </row>
    <row r="10" spans="1:17" x14ac:dyDescent="0.35">
      <c r="A10">
        <v>6</v>
      </c>
      <c r="B10">
        <v>60</v>
      </c>
      <c r="C10" s="4">
        <v>35000</v>
      </c>
      <c r="E10" s="4">
        <f>'Policy with NO Fixed bonus'!E9</f>
        <v>0</v>
      </c>
      <c r="F10" s="4">
        <f>'Policy with NO Fixed bonus'!P9</f>
        <v>203691.30030592522</v>
      </c>
      <c r="G10" s="4">
        <f>'Policy with NO Fixed bonus'!Q9</f>
        <v>203691.30030592522</v>
      </c>
      <c r="I10" s="4">
        <f>'0.5% fixed bonus Loan Option #1'!E9</f>
        <v>0</v>
      </c>
      <c r="J10" s="4">
        <f>'0.5% fixed bonus Loan Option #1'!P9</f>
        <v>207267.30292270269</v>
      </c>
      <c r="K10" s="4">
        <f>'0.5% fixed bonus Loan Option #1'!Q9</f>
        <v>207267.30292270269</v>
      </c>
      <c r="N10" s="4">
        <f>'0.5% fixed bonus Loan Option #2'!E9</f>
        <v>0</v>
      </c>
      <c r="O10" s="4">
        <f>'0.5% fixed bonus Loan Option #2'!P9</f>
        <v>207267.30292270269</v>
      </c>
      <c r="P10" s="4">
        <f>'0.5% fixed bonus Loan Option #2'!Q9</f>
        <v>207267.30292270269</v>
      </c>
    </row>
    <row r="11" spans="1:17" x14ac:dyDescent="0.35">
      <c r="A11">
        <v>7</v>
      </c>
      <c r="B11">
        <v>61</v>
      </c>
      <c r="C11" s="4">
        <v>35000</v>
      </c>
      <c r="E11" s="4">
        <f>'Policy with NO Fixed bonus'!E10</f>
        <v>0</v>
      </c>
      <c r="F11" s="4">
        <f>'Policy with NO Fixed bonus'!P10</f>
        <v>244153.51032428071</v>
      </c>
      <c r="G11" s="4">
        <f>'Policy with NO Fixed bonus'!Q10</f>
        <v>244153.51032428071</v>
      </c>
      <c r="I11" s="4">
        <f>'0.5% fixed bonus Loan Option #1'!E10</f>
        <v>0</v>
      </c>
      <c r="J11" s="4">
        <f>'0.5% fixed bonus Loan Option #1'!P10</f>
        <v>249113.62061267838</v>
      </c>
      <c r="K11" s="4">
        <f>'0.5% fixed bonus Loan Option #1'!Q10</f>
        <v>249113.62061267838</v>
      </c>
      <c r="N11" s="4">
        <f>'0.5% fixed bonus Loan Option #2'!E10</f>
        <v>0</v>
      </c>
      <c r="O11" s="4">
        <f>'0.5% fixed bonus Loan Option #2'!P10</f>
        <v>249113.62061267838</v>
      </c>
      <c r="P11" s="4">
        <f>'0.5% fixed bonus Loan Option #2'!Q10</f>
        <v>249113.62061267838</v>
      </c>
    </row>
    <row r="12" spans="1:17" x14ac:dyDescent="0.35">
      <c r="A12">
        <v>8</v>
      </c>
      <c r="B12">
        <v>62</v>
      </c>
      <c r="C12" s="4">
        <v>35000</v>
      </c>
      <c r="E12" s="4">
        <f>'Policy with NO Fixed bonus'!E11</f>
        <v>0</v>
      </c>
      <c r="F12" s="4">
        <f>'Policy with NO Fixed bonus'!P11</f>
        <v>286670.33294373757</v>
      </c>
      <c r="G12" s="4">
        <f>'Policy with NO Fixed bonus'!Q11</f>
        <v>286670.33294373757</v>
      </c>
      <c r="I12" s="4">
        <f>'0.5% fixed bonus Loan Option #1'!E11</f>
        <v>0</v>
      </c>
      <c r="J12" s="4">
        <f>'0.5% fixed bonus Loan Option #1'!P11</f>
        <v>293305.06895250245</v>
      </c>
      <c r="K12" s="4">
        <f>'0.5% fixed bonus Loan Option #1'!Q11</f>
        <v>293305.06895250245</v>
      </c>
      <c r="N12" s="4">
        <f>'0.5% fixed bonus Loan Option #2'!E11</f>
        <v>0</v>
      </c>
      <c r="O12" s="4">
        <f>'0.5% fixed bonus Loan Option #2'!P11</f>
        <v>293305.06895250245</v>
      </c>
      <c r="P12" s="4">
        <f>'0.5% fixed bonus Loan Option #2'!Q11</f>
        <v>293305.06895250245</v>
      </c>
    </row>
    <row r="13" spans="1:17" x14ac:dyDescent="0.35">
      <c r="A13">
        <v>9</v>
      </c>
      <c r="B13">
        <v>63</v>
      </c>
      <c r="C13" s="4">
        <v>35000</v>
      </c>
      <c r="E13" s="4">
        <f>'Policy with NO Fixed bonus'!E12</f>
        <v>0</v>
      </c>
      <c r="F13" s="4">
        <f>'Policy with NO Fixed bonus'!P12</f>
        <v>331324.23492036184</v>
      </c>
      <c r="G13" s="4">
        <f>'Policy with NO Fixed bonus'!Q12</f>
        <v>331324.23492036184</v>
      </c>
      <c r="I13" s="4">
        <f>'0.5% fixed bonus Loan Option #1'!E12</f>
        <v>0</v>
      </c>
      <c r="J13" s="4">
        <f>'0.5% fixed bonus Loan Option #1'!P12</f>
        <v>339953.07893441513</v>
      </c>
      <c r="K13" s="4">
        <f>'0.5% fixed bonus Loan Option #1'!Q12</f>
        <v>339953.07893441513</v>
      </c>
      <c r="N13" s="4">
        <f>'0.5% fixed bonus Loan Option #2'!E12</f>
        <v>0</v>
      </c>
      <c r="O13" s="4">
        <f>'0.5% fixed bonus Loan Option #2'!P12</f>
        <v>339953.07893441513</v>
      </c>
      <c r="P13" s="4">
        <f>'0.5% fixed bonus Loan Option #2'!Q12</f>
        <v>339953.07893441513</v>
      </c>
    </row>
    <row r="14" spans="1:17" x14ac:dyDescent="0.35">
      <c r="A14">
        <v>10</v>
      </c>
      <c r="B14">
        <v>64</v>
      </c>
      <c r="C14" s="4">
        <v>35000</v>
      </c>
      <c r="E14" s="4">
        <f>'Policy with NO Fixed bonus'!E13</f>
        <v>0</v>
      </c>
      <c r="F14" s="4">
        <f>'Policy with NO Fixed bonus'!P13</f>
        <v>378179.31101558357</v>
      </c>
      <c r="G14" s="4">
        <f>'Policy with NO Fixed bonus'!Q13</f>
        <v>378179.31101558357</v>
      </c>
      <c r="I14" s="4">
        <f>'0.5% fixed bonus Loan Option #1'!E13</f>
        <v>0</v>
      </c>
      <c r="J14" s="4">
        <f>'0.5% fixed bonus Loan Option #1'!P13</f>
        <v>389152.89456515212</v>
      </c>
      <c r="K14" s="4">
        <f>'0.5% fixed bonus Loan Option #1'!Q13</f>
        <v>389152.89456515212</v>
      </c>
      <c r="N14" s="4">
        <f>'0.5% fixed bonus Loan Option #2'!E13</f>
        <v>0</v>
      </c>
      <c r="O14" s="4">
        <f>'0.5% fixed bonus Loan Option #2'!P13</f>
        <v>389152.89456515212</v>
      </c>
      <c r="P14" s="4">
        <f>'0.5% fixed bonus Loan Option #2'!Q13</f>
        <v>389152.89456515212</v>
      </c>
    </row>
    <row r="15" spans="1:17" x14ac:dyDescent="0.35">
      <c r="A15">
        <v>11</v>
      </c>
      <c r="B15">
        <v>65</v>
      </c>
      <c r="C15" s="4">
        <v>35000</v>
      </c>
      <c r="E15" s="4">
        <f>'Policy with NO Fixed bonus'!E14</f>
        <v>0</v>
      </c>
      <c r="F15" s="4">
        <f>'Policy with NO Fixed bonus'!P14</f>
        <v>430659.24967651861</v>
      </c>
      <c r="G15" s="4">
        <f>'Policy with NO Fixed bonus'!Q14</f>
        <v>430659.24967651861</v>
      </c>
      <c r="I15" s="4">
        <f>'0.5% fixed bonus Loan Option #1'!E14</f>
        <v>0</v>
      </c>
      <c r="J15" s="4">
        <f>'0.5% fixed bonus Loan Option #1'!P14</f>
        <v>444377.52771188703</v>
      </c>
      <c r="K15" s="4">
        <f>'0.5% fixed bonus Loan Option #1'!Q14</f>
        <v>444377.52771188703</v>
      </c>
      <c r="N15" s="4">
        <f>'0.5% fixed bonus Loan Option #2'!E14</f>
        <v>0</v>
      </c>
      <c r="O15" s="4">
        <f>'0.5% fixed bonus Loan Option #2'!P14</f>
        <v>444377.52771188703</v>
      </c>
      <c r="P15" s="4">
        <f>'0.5% fixed bonus Loan Option #2'!Q14</f>
        <v>444377.52771188703</v>
      </c>
    </row>
    <row r="16" spans="1:17" x14ac:dyDescent="0.35">
      <c r="A16">
        <v>12</v>
      </c>
      <c r="B16">
        <v>66</v>
      </c>
      <c r="C16" s="4">
        <v>35000</v>
      </c>
      <c r="E16" s="4">
        <f>'Policy with NO Fixed bonus'!E15</f>
        <v>0</v>
      </c>
      <c r="F16" s="4">
        <f>'Policy with NO Fixed bonus'!P15</f>
        <v>485802.92865710973</v>
      </c>
      <c r="G16" s="4">
        <f>'Policy with NO Fixed bonus'!Q15</f>
        <v>485802.92865710973</v>
      </c>
      <c r="I16" s="4">
        <f>'0.5% fixed bonus Loan Option #1'!E15</f>
        <v>0</v>
      </c>
      <c r="J16" s="4">
        <f>'0.5% fixed bonus Loan Option #1'!P15</f>
        <v>502704.41801315971</v>
      </c>
      <c r="K16" s="4">
        <f>'0.5% fixed bonus Loan Option #1'!Q15</f>
        <v>502704.41801315971</v>
      </c>
      <c r="N16" s="4">
        <f>'0.5% fixed bonus Loan Option #2'!E15</f>
        <v>0</v>
      </c>
      <c r="O16" s="4">
        <f>'0.5% fixed bonus Loan Option #2'!P15</f>
        <v>502704.41801315971</v>
      </c>
      <c r="P16" s="4">
        <f>'0.5% fixed bonus Loan Option #2'!Q15</f>
        <v>502704.41801315971</v>
      </c>
    </row>
    <row r="17" spans="1:16" x14ac:dyDescent="0.35">
      <c r="A17">
        <v>13</v>
      </c>
      <c r="B17">
        <v>67</v>
      </c>
      <c r="C17" s="4">
        <v>35000</v>
      </c>
      <c r="E17" s="4">
        <f>'Policy with NO Fixed bonus'!E16</f>
        <v>0</v>
      </c>
      <c r="F17" s="4">
        <f>'Policy with NO Fixed bonus'!P16</f>
        <v>543713.03837653634</v>
      </c>
      <c r="G17" s="4">
        <f>'Policy with NO Fixed bonus'!Q16</f>
        <v>543713.03837653634</v>
      </c>
      <c r="I17" s="4">
        <f>'0.5% fixed bonus Loan Option #1'!E16</f>
        <v>0</v>
      </c>
      <c r="J17" s="4">
        <f>'0.5% fixed bonus Loan Option #1'!P16</f>
        <v>564277.80868401506</v>
      </c>
      <c r="K17" s="4">
        <f>'0.5% fixed bonus Loan Option #1'!Q16</f>
        <v>564277.80868401506</v>
      </c>
      <c r="N17" s="4">
        <f>'0.5% fixed bonus Loan Option #2'!E16</f>
        <v>0</v>
      </c>
      <c r="O17" s="4">
        <f>'0.5% fixed bonus Loan Option #2'!P16</f>
        <v>564277.80868401506</v>
      </c>
      <c r="P17" s="4">
        <f>'0.5% fixed bonus Loan Option #2'!Q16</f>
        <v>564277.80868401506</v>
      </c>
    </row>
    <row r="18" spans="1:16" x14ac:dyDescent="0.35">
      <c r="A18">
        <v>14</v>
      </c>
      <c r="B18">
        <v>68</v>
      </c>
      <c r="C18" s="4">
        <v>35000</v>
      </c>
      <c r="E18" s="4">
        <f>'Policy with NO Fixed bonus'!E17</f>
        <v>0</v>
      </c>
      <c r="F18" s="4">
        <f>'Policy with NO Fixed bonus'!P17</f>
        <v>604491.43467912858</v>
      </c>
      <c r="G18" s="4">
        <f>'Policy with NO Fixed bonus'!Q17</f>
        <v>604491.43467912858</v>
      </c>
      <c r="I18" s="4">
        <f>'0.5% fixed bonus Loan Option #1'!E17</f>
        <v>0</v>
      </c>
      <c r="J18" s="4">
        <f>'0.5% fixed bonus Loan Option #1'!P17</f>
        <v>629244.289748476</v>
      </c>
      <c r="K18" s="4">
        <f>'0.5% fixed bonus Loan Option #1'!Q17</f>
        <v>629244.289748476</v>
      </c>
      <c r="N18" s="4">
        <f>'0.5% fixed bonus Loan Option #2'!E17</f>
        <v>0</v>
      </c>
      <c r="O18" s="4">
        <f>'0.5% fixed bonus Loan Option #2'!P17</f>
        <v>629244.289748476</v>
      </c>
      <c r="P18" s="4">
        <f>'0.5% fixed bonus Loan Option #2'!Q17</f>
        <v>629244.289748476</v>
      </c>
    </row>
    <row r="19" spans="1:16" x14ac:dyDescent="0.35">
      <c r="A19">
        <v>15</v>
      </c>
      <c r="B19">
        <v>69</v>
      </c>
      <c r="C19" s="4">
        <v>35000</v>
      </c>
      <c r="E19" s="4">
        <f>'Policy with NO Fixed bonus'!E18</f>
        <v>0</v>
      </c>
      <c r="F19" s="4">
        <f>'Policy with NO Fixed bonus'!P18</f>
        <v>668240.25475987629</v>
      </c>
      <c r="G19" s="4">
        <f>'Policy with NO Fixed bonus'!Q18</f>
        <v>668240.25475987629</v>
      </c>
      <c r="I19" s="4">
        <f>'0.5% fixed bonus Loan Option #1'!E18</f>
        <v>0</v>
      </c>
      <c r="J19" s="4">
        <f>'0.5% fixed bonus Loan Option #1'!P18</f>
        <v>697754.12208212691</v>
      </c>
      <c r="K19" s="4">
        <f>'0.5% fixed bonus Loan Option #1'!Q18</f>
        <v>697754.12208212691</v>
      </c>
      <c r="N19" s="4">
        <f>'0.5% fixed bonus Loan Option #2'!E18</f>
        <v>0</v>
      </c>
      <c r="O19" s="4">
        <f>'0.5% fixed bonus Loan Option #2'!P18</f>
        <v>697754.12208212691</v>
      </c>
      <c r="P19" s="4">
        <f>'0.5% fixed bonus Loan Option #2'!Q18</f>
        <v>697754.12208212691</v>
      </c>
    </row>
    <row r="20" spans="1:16" x14ac:dyDescent="0.35">
      <c r="A20">
        <v>16</v>
      </c>
      <c r="B20">
        <v>70</v>
      </c>
      <c r="C20" s="4">
        <v>0</v>
      </c>
      <c r="E20" s="4">
        <f>'Policy with NO Fixed bonus'!E19</f>
        <v>57564</v>
      </c>
      <c r="F20" s="4">
        <f>'Policy with NO Fixed bonus'!P19</f>
        <v>706590.33404546883</v>
      </c>
      <c r="G20" s="4">
        <f>'Policy with NO Fixed bonus'!Q19</f>
        <v>646148.13404546888</v>
      </c>
      <c r="I20" s="4">
        <f>'0.5% fixed bonus Loan Option #1'!E19</f>
        <v>66110</v>
      </c>
      <c r="J20" s="4">
        <f>'0.5% fixed bonus Loan Option #1'!P19</f>
        <v>741355.57601746521</v>
      </c>
      <c r="K20" s="4">
        <f>'0.5% fixed bonus Loan Option #1'!Q19</f>
        <v>671940.07601746521</v>
      </c>
      <c r="N20" s="4">
        <f>'0.5% fixed bonus Loan Option #2'!E19</f>
        <v>62482</v>
      </c>
      <c r="O20" s="4">
        <f>'0.5% fixed bonus Loan Option #2'!P19</f>
        <v>741043.16601746529</v>
      </c>
      <c r="P20" s="4">
        <f>'0.5% fixed bonus Loan Option #2'!Q19</f>
        <v>675437.06601746532</v>
      </c>
    </row>
    <row r="21" spans="1:16" x14ac:dyDescent="0.35">
      <c r="A21">
        <v>17</v>
      </c>
      <c r="B21">
        <v>71</v>
      </c>
      <c r="C21" s="4">
        <v>0</v>
      </c>
      <c r="E21" s="4">
        <f>'Policy with NO Fixed bonus'!E20</f>
        <v>57564</v>
      </c>
      <c r="F21" s="4">
        <f>'Policy with NO Fixed bonus'!P20</f>
        <v>747208.77008819696</v>
      </c>
      <c r="G21" s="4">
        <f>'Policy with NO Fixed bonus'!Q20</f>
        <v>623302.26008819696</v>
      </c>
      <c r="I21" s="4">
        <f>'0.5% fixed bonus Loan Option #1'!E20</f>
        <v>66110</v>
      </c>
      <c r="J21" s="4">
        <f>'0.5% fixed bonus Loan Option #1'!P20</f>
        <v>787758.32245860039</v>
      </c>
      <c r="K21" s="4">
        <f>'0.5% fixed bonus Loan Option #1'!Q20</f>
        <v>645456.54745860037</v>
      </c>
      <c r="N21" s="4">
        <f>'0.5% fixed bonus Loan Option #2'!E20</f>
        <v>62482</v>
      </c>
      <c r="O21" s="4">
        <f>'0.5% fixed bonus Loan Option #2'!P20</f>
        <v>786785.16530860041</v>
      </c>
      <c r="P21" s="4">
        <f>'0.5% fixed bonus Loan Option #2'!Q20</f>
        <v>652292.6603086004</v>
      </c>
    </row>
    <row r="22" spans="1:16" x14ac:dyDescent="0.35">
      <c r="A22">
        <v>18</v>
      </c>
      <c r="B22">
        <v>72</v>
      </c>
      <c r="C22" s="4">
        <v>0</v>
      </c>
      <c r="E22" s="4">
        <f>'Policy with NO Fixed bonus'!E21</f>
        <v>57564</v>
      </c>
      <c r="F22" s="4">
        <f>'Policy with NO Fixed bonus'!P21</f>
        <v>790273.64029348886</v>
      </c>
      <c r="G22" s="4">
        <f>'Policy with NO Fixed bonus'!Q21</f>
        <v>599729.60479348886</v>
      </c>
      <c r="I22" s="4">
        <f>'0.5% fixed bonus Loan Option #1'!E21</f>
        <v>66110</v>
      </c>
      <c r="J22" s="4">
        <f>'0.5% fixed bonus Loan Option #1'!P21</f>
        <v>837186.61941840942</v>
      </c>
      <c r="K22" s="4">
        <f>'0.5% fixed bonus Loan Option #1'!Q21</f>
        <v>618354.2556684094</v>
      </c>
      <c r="N22" s="4">
        <f>'0.5% fixed bonus Loan Option #2'!E21</f>
        <v>62482</v>
      </c>
      <c r="O22" s="4">
        <f>'0.5% fixed bonus Loan Option #2'!P21</f>
        <v>835165.33452865947</v>
      </c>
      <c r="P22" s="4">
        <f>'0.5% fixed bonus Loan Option #2'!Q21</f>
        <v>628342.10427865945</v>
      </c>
    </row>
    <row r="23" spans="1:16" x14ac:dyDescent="0.35">
      <c r="A23">
        <v>19</v>
      </c>
      <c r="B23">
        <v>73</v>
      </c>
      <c r="C23" s="4">
        <v>0</v>
      </c>
      <c r="E23" s="4">
        <f>'Policy with NO Fixed bonus'!E22</f>
        <v>57564</v>
      </c>
      <c r="F23" s="4">
        <f>'Policy with NO Fixed bonus'!P22</f>
        <v>835987.69871109817</v>
      </c>
      <c r="G23" s="4">
        <f>'Policy with NO Fixed bonus'!Q22</f>
        <v>575474.26143609814</v>
      </c>
      <c r="I23" s="4">
        <f>'0.5% fixed bonus Loan Option #1'!E22</f>
        <v>66110</v>
      </c>
      <c r="J23" s="4">
        <f>'0.5% fixed bonus Loan Option #1'!P22</f>
        <v>889893.35968060605</v>
      </c>
      <c r="K23" s="4">
        <f>'0.5% fixed bonus Loan Option #1'!Q22</f>
        <v>590703.8777431061</v>
      </c>
      <c r="N23" s="4">
        <f>'0.5% fixed bonus Loan Option #2'!E22</f>
        <v>62482</v>
      </c>
      <c r="O23" s="4">
        <f>'0.5% fixed bonus Loan Option #2'!P22</f>
        <v>886394.16512177233</v>
      </c>
      <c r="P23" s="4">
        <f>'0.5% fixed bonus Loan Option #2'!Q22</f>
        <v>603623.6733592723</v>
      </c>
    </row>
    <row r="24" spans="1:16" x14ac:dyDescent="0.35">
      <c r="A24">
        <v>20</v>
      </c>
      <c r="B24">
        <v>74</v>
      </c>
      <c r="C24" s="4">
        <v>0</v>
      </c>
      <c r="E24" s="4">
        <f>'Policy with NO Fixed bonus'!E23</f>
        <v>57564</v>
      </c>
      <c r="F24" s="4">
        <f>'Policy with NO Fixed bonus'!P23</f>
        <v>884586.85263376404</v>
      </c>
      <c r="G24" s="4">
        <f>'Policy with NO Fixed bonus'!Q23</f>
        <v>550605.54349501408</v>
      </c>
      <c r="I24" s="4">
        <f>'0.5% fixed bonus Loan Option #1'!E23</f>
        <v>66110</v>
      </c>
      <c r="J24" s="4">
        <f>'0.5% fixed bonus Loan Option #1'!P23</f>
        <v>946168.9610598454</v>
      </c>
      <c r="K24" s="4">
        <f>'0.5% fixed bonus Loan Option #1'!Q23</f>
        <v>562604.5050254704</v>
      </c>
      <c r="N24" s="4">
        <f>'0.5% fixed bonus Loan Option #2'!E23</f>
        <v>62482</v>
      </c>
      <c r="O24" s="4">
        <f>'0.5% fixed bonus Loan Option #2'!P23</f>
        <v>940716.05639587494</v>
      </c>
      <c r="P24" s="4">
        <f>'0.5% fixed bonus Loan Option #2'!Q23</f>
        <v>578200.94004524988</v>
      </c>
    </row>
    <row r="25" spans="1:16" x14ac:dyDescent="0.35">
      <c r="A25">
        <v>21</v>
      </c>
      <c r="B25">
        <v>75</v>
      </c>
      <c r="C25" s="4">
        <v>0</v>
      </c>
      <c r="E25" s="4">
        <f>'Policy with NO Fixed bonus'!E24</f>
        <v>57564</v>
      </c>
      <c r="F25" s="4">
        <f>'Policy with NO Fixed bonus'!P24</f>
        <v>936350.31379178993</v>
      </c>
      <c r="G25" s="4">
        <f>'Policy with NO Fixed bonus'!Q24</f>
        <v>525227.73919610237</v>
      </c>
      <c r="I25" s="4">
        <f>'0.5% fixed bonus Loan Option #1'!E24</f>
        <v>66110</v>
      </c>
      <c r="J25" s="4">
        <f>'0.5% fixed bonus Loan Option #1'!P24</f>
        <v>1006352.0060287353</v>
      </c>
      <c r="K25" s="4">
        <f>'0.5% fixed bonus Loan Option #1'!Q24</f>
        <v>534193.82719264156</v>
      </c>
      <c r="N25" s="4">
        <f>'0.5% fixed bonus Loan Option #2'!E24</f>
        <v>62482</v>
      </c>
      <c r="O25" s="4">
        <f>'0.5% fixed bonus Loan Option #2'!P24</f>
        <v>998419.67697985366</v>
      </c>
      <c r="P25" s="4">
        <f>'0.5% fixed bonus Loan Option #2'!Q24</f>
        <v>552172.70481169736</v>
      </c>
    </row>
    <row r="26" spans="1:16" x14ac:dyDescent="0.35">
      <c r="A26">
        <v>22</v>
      </c>
      <c r="B26">
        <v>76</v>
      </c>
      <c r="C26" s="4">
        <v>0</v>
      </c>
      <c r="E26" s="4">
        <f>'Policy with NO Fixed bonus'!E25</f>
        <v>57564</v>
      </c>
      <c r="F26" s="4">
        <f>'Policy with NO Fixed bonus'!P25</f>
        <v>990998.04261929728</v>
      </c>
      <c r="G26" s="4">
        <f>'Policy with NO Fixed bonus'!Q25</f>
        <v>498877.13929382537</v>
      </c>
      <c r="I26" s="4">
        <f>'0.5% fixed bonus Loan Option #1'!E25</f>
        <v>66110</v>
      </c>
      <c r="J26" s="4">
        <f>'0.5% fixed bonus Loan Option #1'!P25</f>
        <v>1070224.3639206032</v>
      </c>
      <c r="K26" s="4">
        <f>'0.5% fixed bonus Loan Option #1'!Q25</f>
        <v>505042.77614270477</v>
      </c>
      <c r="N26" s="4">
        <f>'0.5% fixed bonus Loan Option #2'!E25</f>
        <v>62482</v>
      </c>
      <c r="O26" s="4">
        <f>'0.5% fixed bonus Loan Option #2'!P25</f>
        <v>1059232.7886227034</v>
      </c>
      <c r="P26" s="4">
        <f>'0.5% fixed bonus Loan Option #2'!Q25</f>
        <v>525067.36784613924</v>
      </c>
    </row>
    <row r="27" spans="1:16" x14ac:dyDescent="0.35">
      <c r="A27">
        <v>23</v>
      </c>
      <c r="B27">
        <v>77</v>
      </c>
      <c r="C27" s="4">
        <v>0</v>
      </c>
      <c r="E27" s="4">
        <f>'Policy with NO Fixed bonus'!E26</f>
        <v>57564</v>
      </c>
      <c r="F27" s="4">
        <f>'Policy with NO Fixed bonus'!P26</f>
        <v>1048665.7831764552</v>
      </c>
      <c r="G27" s="4">
        <f>'Policy with NO Fixed bonus'!Q26</f>
        <v>471496.63468470972</v>
      </c>
      <c r="I27" s="4">
        <f>'0.5% fixed bonus Loan Option #1'!E26</f>
        <v>66110</v>
      </c>
      <c r="J27" s="4">
        <f>'0.5% fixed bonus Loan Option #1'!P26</f>
        <v>1137988.3520754424</v>
      </c>
      <c r="K27" s="4">
        <f>'0.5% fixed bonus Loan Option #1'!Q26</f>
        <v>475132.18490864907</v>
      </c>
      <c r="N27" s="4">
        <f>'0.5% fixed bonus Loan Option #2'!E26</f>
        <v>62482</v>
      </c>
      <c r="O27" s="4">
        <f>'0.5% fixed bonus Loan Option #2'!P26</f>
        <v>1123299.0872792965</v>
      </c>
      <c r="P27" s="4">
        <f>'0.5% fixed bonus Loan Option #2'!Q26</f>
        <v>496819.29546390416</v>
      </c>
    </row>
    <row r="28" spans="1:16" x14ac:dyDescent="0.35">
      <c r="A28">
        <v>24</v>
      </c>
      <c r="B28">
        <v>78</v>
      </c>
      <c r="C28" s="4">
        <v>0</v>
      </c>
      <c r="E28" s="4">
        <f>'Policy with NO Fixed bonus'!E27</f>
        <v>57564</v>
      </c>
      <c r="F28" s="4">
        <f>'Policy with NO Fixed bonus'!P27</f>
        <v>1109490.4281670423</v>
      </c>
      <c r="G28" s="4">
        <f>'Policy with NO Fixed bonus'!Q27</f>
        <v>443020.62225070957</v>
      </c>
      <c r="I28" s="4">
        <f>'0.5% fixed bonus Loan Option #1'!E27</f>
        <v>66110</v>
      </c>
      <c r="J28" s="4">
        <f>'0.5% fixed bonus Loan Option #1'!P27</f>
        <v>1209852.4094603464</v>
      </c>
      <c r="K28" s="4">
        <f>'0.5% fixed bonus Loan Option #1'!Q27</f>
        <v>444437.93393521337</v>
      </c>
      <c r="N28" s="4">
        <f>'0.5% fixed bonus Loan Option #2'!E27</f>
        <v>62482</v>
      </c>
      <c r="O28" s="4">
        <f>'0.5% fixed bonus Loan Option #2'!P27</f>
        <v>1190763.5334933738</v>
      </c>
      <c r="P28" s="4">
        <f>'0.5% fixed bonus Loan Option #2'!Q27</f>
        <v>467353.65208721184</v>
      </c>
    </row>
    <row r="29" spans="1:16" x14ac:dyDescent="0.35">
      <c r="A29">
        <v>25</v>
      </c>
      <c r="B29">
        <v>79</v>
      </c>
      <c r="C29" s="4">
        <v>0</v>
      </c>
      <c r="E29" s="4">
        <f>'Policy with NO Fixed bonus'!E28</f>
        <v>57564</v>
      </c>
      <c r="F29" s="4">
        <f>'Policy with NO Fixed bonus'!P28</f>
        <v>1173613.5858570649</v>
      </c>
      <c r="G29" s="4">
        <f>'Policy with NO Fixed bonus'!Q28</f>
        <v>413378.08964491554</v>
      </c>
      <c r="I29" s="4">
        <f>'0.5% fixed bonus Loan Option #1'!E28</f>
        <v>66110</v>
      </c>
      <c r="J29" s="4">
        <f>'0.5% fixed bonus Loan Option #1'!P28</f>
        <v>1286035.0090752689</v>
      </c>
      <c r="K29" s="4">
        <f>'0.5% fixed bonus Loan Option #1'!Q28</f>
        <v>412934.30977387913</v>
      </c>
      <c r="N29" s="4">
        <f>'0.5% fixed bonus Loan Option #2'!E28</f>
        <v>62482</v>
      </c>
      <c r="O29" s="4">
        <f>'0.5% fixed bonus Loan Option #2'!P28</f>
        <v>1261775.8967634123</v>
      </c>
      <c r="P29" s="4">
        <f>'0.5% fixed bonus Loan Option #2'!Q28</f>
        <v>436589.4212869422</v>
      </c>
    </row>
    <row r="30" spans="1:16" x14ac:dyDescent="0.35">
      <c r="A30">
        <v>26</v>
      </c>
      <c r="B30">
        <v>80</v>
      </c>
      <c r="C30" s="4">
        <v>0</v>
      </c>
      <c r="E30" s="4">
        <f>'Policy with NO Fixed bonus'!E29</f>
        <v>57564</v>
      </c>
      <c r="F30" s="4">
        <f>'Policy with NO Fixed bonus'!P29</f>
        <v>1241173.7010084887</v>
      </c>
      <c r="G30" s="4">
        <f>'Policy with NO Fixed bonus'!Q29</f>
        <v>382484.22998573177</v>
      </c>
      <c r="I30" s="4">
        <f>'0.5% fixed bonus Loan Option #1'!E29</f>
        <v>66110</v>
      </c>
      <c r="J30" s="4">
        <f>'0.5% fixed bonus Loan Option #1'!P29</f>
        <v>1366757.1096651615</v>
      </c>
      <c r="K30" s="4">
        <f>'0.5% fixed bonus Loan Option #1'!Q29</f>
        <v>380585.87539870222</v>
      </c>
      <c r="N30" s="4">
        <f>'0.5% fixed bonus Loan Option #2'!E29</f>
        <v>62482</v>
      </c>
      <c r="O30" s="4">
        <f>'0.5% fixed bonus Loan Option #2'!P29</f>
        <v>1336482.8126756516</v>
      </c>
      <c r="P30" s="4">
        <f>'0.5% fixed bonus Loan Option #2'!Q29</f>
        <v>404430.91342535801</v>
      </c>
    </row>
    <row r="31" spans="1:16" x14ac:dyDescent="0.35">
      <c r="A31">
        <v>27</v>
      </c>
      <c r="B31">
        <v>81</v>
      </c>
      <c r="C31" s="4">
        <v>0</v>
      </c>
      <c r="E31" s="4">
        <f>'Policy with NO Fixed bonus'!E30</f>
        <v>57564</v>
      </c>
      <c r="F31" s="4">
        <f>'Policy with NO Fixed bonus'!P30</f>
        <v>1312263.8890689979</v>
      </c>
      <c r="G31" s="4">
        <f>'Policy with NO Fixed bonus'!Q30</f>
        <v>350197.74449510314</v>
      </c>
      <c r="I31" s="4">
        <f>'0.5% fixed bonus Loan Option #1'!E30</f>
        <v>66110</v>
      </c>
      <c r="J31" s="4">
        <f>'0.5% fixed bonus Loan Option #1'!P30</f>
        <v>1452200.143293397</v>
      </c>
      <c r="K31" s="4">
        <f>'0.5% fixed bonus Loan Option #1'!Q30</f>
        <v>347304.84731361479</v>
      </c>
      <c r="N31" s="4">
        <f>'0.5% fixed bonus Loan Option #2'!E30</f>
        <v>62482</v>
      </c>
      <c r="O31" s="4">
        <f>'0.5% fixed bonus Loan Option #2'!P30</f>
        <v>1414985.3475033175</v>
      </c>
      <c r="P31" s="4">
        <f>'0.5% fixed bonus Loan Option #2'!Q30</f>
        <v>370724.75329050922</v>
      </c>
    </row>
    <row r="32" spans="1:16" x14ac:dyDescent="0.35">
      <c r="A32">
        <v>28</v>
      </c>
      <c r="B32">
        <v>82</v>
      </c>
      <c r="C32" s="4">
        <v>0</v>
      </c>
      <c r="E32" s="4">
        <f>'Policy with NO Fixed bonus'!E31</f>
        <v>57564</v>
      </c>
      <c r="F32" s="4">
        <f>'Policy with NO Fixed bonus'!P31</f>
        <v>1387002.6744131378</v>
      </c>
      <c r="G32" s="4">
        <f>'Policy with NO Fixed bonus'!Q31</f>
        <v>316391.02261054819</v>
      </c>
      <c r="I32" s="4">
        <f>'0.5% fixed bonus Loan Option #1'!E31</f>
        <v>66110</v>
      </c>
      <c r="J32" s="4">
        <f>'0.5% fixed bonus Loan Option #1'!P31</f>
        <v>1542577.250607468</v>
      </c>
      <c r="K32" s="4">
        <f>'0.5% fixed bonus Loan Option #1'!Q31</f>
        <v>313021.68982869666</v>
      </c>
      <c r="N32" s="4">
        <f>'0.5% fixed bonus Loan Option #2'!E31</f>
        <v>62482</v>
      </c>
      <c r="O32" s="4">
        <f>'0.5% fixed bonus Loan Option #2'!P31</f>
        <v>1497409.7801199693</v>
      </c>
      <c r="P32" s="4">
        <f>'0.5% fixed bonus Loan Option #2'!Q31</f>
        <v>335330.05619652057</v>
      </c>
    </row>
    <row r="33" spans="1:16" x14ac:dyDescent="0.35">
      <c r="A33">
        <v>29</v>
      </c>
      <c r="B33">
        <v>83</v>
      </c>
      <c r="C33" s="4">
        <v>0</v>
      </c>
      <c r="E33" s="4">
        <f>'Policy with NO Fixed bonus'!E32</f>
        <v>57564</v>
      </c>
      <c r="F33" s="4">
        <f>'Policy with NO Fixed bonus'!P32</f>
        <v>1465504.032877926</v>
      </c>
      <c r="G33" s="4">
        <f>'Policy with NO Fixed bonus'!Q32</f>
        <v>280919.59848520695</v>
      </c>
      <c r="I33" s="4">
        <f>'0.5% fixed bonus Loan Option #1'!E32</f>
        <v>66110</v>
      </c>
      <c r="J33" s="4">
        <f>'0.5% fixed bonus Loan Option #1'!P32</f>
        <v>1638103.7113969536</v>
      </c>
      <c r="K33" s="4">
        <f>'0.5% fixed bonus Loan Option #1'!Q32</f>
        <v>277654.87257924373</v>
      </c>
      <c r="N33" s="4">
        <f>'0.5% fixed bonus Loan Option #2'!E32</f>
        <v>62482</v>
      </c>
      <c r="O33" s="4">
        <f>'0.5% fixed bonus Loan Option #2'!P32</f>
        <v>1583877.5467081501</v>
      </c>
      <c r="P33" s="4">
        <f>'0.5% fixed bonus Loan Option #2'!Q32</f>
        <v>298087.73658852885</v>
      </c>
    </row>
    <row r="34" spans="1:16" x14ac:dyDescent="0.35">
      <c r="A34">
        <v>30</v>
      </c>
      <c r="B34">
        <v>84</v>
      </c>
      <c r="C34" s="4">
        <v>0</v>
      </c>
      <c r="E34" s="4">
        <f>'Policy with NO Fixed bonus'!E33</f>
        <v>57564</v>
      </c>
      <c r="F34" s="4">
        <f>'Policy with NO Fixed bonus'!P33</f>
        <v>1547866.6248506017</v>
      </c>
      <c r="G34" s="4">
        <f>'Policy with NO Fixed bonus'!Q33</f>
        <v>243610.76873824676</v>
      </c>
      <c r="I34" s="4">
        <f>'0.5% fixed bonus Loan Option #1'!E33</f>
        <v>66110</v>
      </c>
      <c r="J34" s="4">
        <f>'0.5% fixed bonus Loan Option #1'!P33</f>
        <v>1738986.5401377555</v>
      </c>
      <c r="K34" s="4">
        <f>'0.5% fixed bonus Loan Option #1'!Q33</f>
        <v>241099.75937916012</v>
      </c>
      <c r="N34" s="4">
        <f>'0.5% fixed bonus Loan Option #2'!E33</f>
        <v>62482</v>
      </c>
      <c r="O34" s="4">
        <f>'0.5% fixed bonus Loan Option #2'!P33</f>
        <v>1674494.3156935817</v>
      </c>
      <c r="P34" s="4">
        <f>'0.5% fixed bonus Loan Option #2'!Q33</f>
        <v>258808.91506797937</v>
      </c>
    </row>
    <row r="35" spans="1:16" x14ac:dyDescent="0.35">
      <c r="A35">
        <v>31</v>
      </c>
      <c r="B35">
        <v>85</v>
      </c>
      <c r="C35" s="4">
        <v>0</v>
      </c>
      <c r="E35" s="4">
        <f>'Policy with NO Fixed bonus'!E34</f>
        <v>57564</v>
      </c>
      <c r="F35" s="4">
        <f>'Policy with NO Fixed bonus'!P34</f>
        <v>1634107.5803416376</v>
      </c>
      <c r="G35" s="4">
        <f>'Policy with NO Fixed bonus'!Q34</f>
        <v>204196.73142366484</v>
      </c>
      <c r="I35" s="4">
        <f>'0.5% fixed bonus Loan Option #1'!E34</f>
        <v>66110</v>
      </c>
      <c r="J35" s="4">
        <f>'0.5% fixed bonus Loan Option #1'!P34</f>
        <v>1845358.3447467096</v>
      </c>
      <c r="K35" s="4">
        <f>'0.5% fixed bonus Loan Option #1'!Q34</f>
        <v>203161.72495018435</v>
      </c>
      <c r="N35" s="4">
        <f>'0.5% fixed bonus Loan Option #2'!E34</f>
        <v>62482</v>
      </c>
      <c r="O35" s="4">
        <f>'0.5% fixed bonus Loan Option #2'!P34</f>
        <v>1769283.2887105364</v>
      </c>
      <c r="P35" s="4">
        <f>'0.5% fixed bonus Loan Option #2'!Q34</f>
        <v>217207.51805365388</v>
      </c>
    </row>
    <row r="36" spans="1:16" x14ac:dyDescent="0.35">
      <c r="A36">
        <v>32</v>
      </c>
      <c r="B36">
        <v>86</v>
      </c>
      <c r="C36" s="4">
        <v>0</v>
      </c>
      <c r="E36" s="4">
        <f>'Policy with NO Fixed bonus'!E35</f>
        <v>57564</v>
      </c>
      <c r="F36" s="4">
        <f>'Policy with NO Fixed bonus'!P35</f>
        <v>1724249.7211621359</v>
      </c>
      <c r="G36" s="4">
        <f>'Policy with NO Fixed bonus'!Q35</f>
        <v>162401.12979826448</v>
      </c>
      <c r="I36" s="4">
        <f>'0.5% fixed bonus Loan Option #1'!E35</f>
        <v>66110</v>
      </c>
      <c r="J36" s="4">
        <f>'0.5% fixed bonus Loan Option #1'!P35</f>
        <v>1957365.0386552457</v>
      </c>
      <c r="K36" s="4">
        <f>'0.5% fixed bonus Loan Option #1'!Q35</f>
        <v>163643.08786889422</v>
      </c>
      <c r="N36" s="4">
        <f>'0.5% fixed bonus Loan Option #2'!E35</f>
        <v>62482</v>
      </c>
      <c r="O36" s="4">
        <f>'0.5% fixed bonus Loan Option #2'!P35</f>
        <v>1868272.3151234372</v>
      </c>
      <c r="P36" s="4">
        <f>'0.5% fixed bonus Loan Option #2'!Q35</f>
        <v>172986.65593371051</v>
      </c>
    </row>
    <row r="37" spans="1:16" x14ac:dyDescent="0.35">
      <c r="A37">
        <v>33</v>
      </c>
      <c r="B37">
        <v>87</v>
      </c>
      <c r="C37" s="4">
        <v>0</v>
      </c>
      <c r="E37" s="4">
        <f>'Policy with NO Fixed bonus'!E36</f>
        <v>57564</v>
      </c>
      <c r="F37" s="4">
        <f>'Policy with NO Fixed bonus'!P36</f>
        <v>1818282.258431864</v>
      </c>
      <c r="G37" s="4">
        <f>'Policy with NO Fixed bonus'!Q36</f>
        <v>117899.03749979893</v>
      </c>
      <c r="I37" s="4">
        <f>'0.5% fixed bonus Loan Option #1'!E36</f>
        <v>66110</v>
      </c>
      <c r="J37" s="4">
        <f>'0.5% fixed bonus Loan Option #1'!P36</f>
        <v>2075126.8746678366</v>
      </c>
      <c r="K37" s="4">
        <f>'0.5% fixed bonus Loan Option #1'!Q36</f>
        <v>122303.32634216757</v>
      </c>
      <c r="N37" s="4">
        <f>'0.5% fixed bonus Loan Option #2'!E36</f>
        <v>62482</v>
      </c>
      <c r="O37" s="4">
        <f>'0.5% fixed bonus Loan Option #2'!P36</f>
        <v>1971454.285810512</v>
      </c>
      <c r="P37" s="4">
        <f>'0.5% fixed bonus Loan Option #2'!Q36</f>
        <v>125798.24366129888</v>
      </c>
    </row>
    <row r="38" spans="1:16" x14ac:dyDescent="0.35">
      <c r="A38">
        <v>34</v>
      </c>
      <c r="B38">
        <v>88</v>
      </c>
      <c r="C38" s="4">
        <v>0</v>
      </c>
      <c r="E38" s="4">
        <f>'Policy with NO Fixed bonus'!E37</f>
        <v>57564</v>
      </c>
      <c r="F38" s="4">
        <f>'Policy with NO Fixed bonus'!P37</f>
        <v>1916119.1319377758</v>
      </c>
      <c r="G38" s="4">
        <f>'Policy with NO Fixed bonus'!Q37</f>
        <v>70274.549959107535</v>
      </c>
      <c r="I38" s="4">
        <f>'0.5% fixed bonus Loan Option #1'!E37</f>
        <v>66110</v>
      </c>
      <c r="J38" s="4">
        <f>'0.5% fixed bonus Loan Option #1'!P37</f>
        <v>2198696.9460212458</v>
      </c>
      <c r="K38" s="4">
        <f>'0.5% fixed bonus Loan Option #1'!Q37</f>
        <v>78816.720279293135</v>
      </c>
      <c r="N38" s="4">
        <f>'0.5% fixed bonus Loan Option #2'!E37</f>
        <v>62482</v>
      </c>
      <c r="O38" s="4">
        <f>'0.5% fixed bonus Loan Option #2'!P37</f>
        <v>2078744.9486774493</v>
      </c>
      <c r="P38" s="4">
        <f>'0.5% fixed bonus Loan Option #2'!Q37</f>
        <v>75200.004420775454</v>
      </c>
    </row>
    <row r="39" spans="1:16" x14ac:dyDescent="0.35">
      <c r="A39">
        <v>35</v>
      </c>
      <c r="B39">
        <v>89</v>
      </c>
      <c r="C39" s="4">
        <v>0</v>
      </c>
      <c r="E39" s="4">
        <f>'Policy with NO Fixed bonus'!E38</f>
        <v>57564</v>
      </c>
      <c r="F39" s="4">
        <f>'Policy with NO Fixed bonus'!P38</f>
        <v>2017625.9758540425</v>
      </c>
      <c r="G39" s="4">
        <f>'Policy with NO Fixed bonus'!Q38</f>
        <v>19046.964776440756</v>
      </c>
      <c r="I39" s="4">
        <f>'0.5% fixed bonus Loan Option #1'!E38</f>
        <v>66110</v>
      </c>
      <c r="J39" s="4">
        <f>'0.5% fixed bonus Loan Option #1'!P38</f>
        <v>2328088.4515126268</v>
      </c>
      <c r="K39" s="4">
        <f>'0.5% fixed bonus Loan Option #1'!Q38</f>
        <v>32798.714483576361</v>
      </c>
      <c r="N39" s="4">
        <f>'0.5% fixed bonus Loan Option #2'!E38</f>
        <v>62482</v>
      </c>
      <c r="O39" s="4">
        <f>'0.5% fixed bonus Loan Option #2'!P38</f>
        <v>2190009.4396202001</v>
      </c>
      <c r="P39" s="4">
        <f>'0.5% fixed bonus Loan Option #2'!Q38</f>
        <v>20681.148150692694</v>
      </c>
    </row>
    <row r="40" spans="1:16" x14ac:dyDescent="0.35">
      <c r="A40">
        <v>36</v>
      </c>
      <c r="B40">
        <v>90</v>
      </c>
      <c r="C40" s="4">
        <v>0</v>
      </c>
      <c r="E40" s="4">
        <f>'Policy with NO Fixed bonus'!E39</f>
        <v>0</v>
      </c>
      <c r="F40" s="4">
        <f>'Policy with NO Fixed bonus'!P39</f>
        <v>2122673.1884052851</v>
      </c>
      <c r="G40" s="4">
        <f>'Policy with NO Fixed bonus'!Q39</f>
        <v>24165.226773803122</v>
      </c>
      <c r="I40" s="4">
        <f>'0.5% fixed bonus Loan Option #1'!E39</f>
        <v>0</v>
      </c>
      <c r="J40" s="4">
        <f>'0.5% fixed bonus Loan Option #1'!P39</f>
        <v>2463328.3343609478</v>
      </c>
      <c r="K40" s="4">
        <f>'0.5% fixed bonus Loan Option #1'!Q39</f>
        <v>53274.110480444971</v>
      </c>
      <c r="N40" s="4">
        <f>'0.5% fixed bonus Loan Option #2'!E39</f>
        <v>0</v>
      </c>
      <c r="O40" s="4">
        <f>'0.5% fixed bonus Loan Option #2'!P39</f>
        <v>2305427.5452381657</v>
      </c>
      <c r="P40" s="4">
        <f>'0.5% fixed bonus Loan Option #2'!Q39</f>
        <v>27632.839195183013</v>
      </c>
    </row>
    <row r="41" spans="1:16" x14ac:dyDescent="0.35">
      <c r="A41">
        <v>37</v>
      </c>
      <c r="B41">
        <v>91</v>
      </c>
      <c r="C41" s="4">
        <v>0</v>
      </c>
      <c r="E41" s="4">
        <f>'Policy with NO Fixed bonus'!E40</f>
        <v>0</v>
      </c>
      <c r="F41" s="4">
        <f>'Policy with NO Fixed bonus'!P40</f>
        <v>2234853.4257096024</v>
      </c>
      <c r="G41" s="4">
        <f>'Policy with NO Fixed bonus'!Q40</f>
        <v>31420.065996546298</v>
      </c>
      <c r="I41" s="4">
        <f>'0.5% fixed bonus Loan Option #1'!E40</f>
        <v>0</v>
      </c>
      <c r="J41" s="4">
        <f>'0.5% fixed bonus Loan Option #1'!P40</f>
        <v>2608192.9175944095</v>
      </c>
      <c r="K41" s="4">
        <f>'0.5% fixed bonus Loan Option #1'!Q40</f>
        <v>77635.982519881334</v>
      </c>
      <c r="N41" s="4">
        <f>'0.5% fixed bonus Loan Option #2'!E40</f>
        <v>0</v>
      </c>
      <c r="O41" s="4">
        <f>'0.5% fixed bonus Loan Option #2'!P40</f>
        <v>2428639.6036484316</v>
      </c>
      <c r="P41" s="4">
        <f>'0.5% fixed bonus Loan Option #2'!Q40</f>
        <v>36955.162303299643</v>
      </c>
    </row>
    <row r="42" spans="1:16" x14ac:dyDescent="0.35">
      <c r="A42">
        <v>38</v>
      </c>
      <c r="B42">
        <v>92</v>
      </c>
      <c r="C42" s="4">
        <v>0</v>
      </c>
      <c r="E42" s="4">
        <f>'Policy with NO Fixed bonus'!E41</f>
        <v>0</v>
      </c>
      <c r="F42" s="4">
        <f>'Policy with NO Fixed bonus'!P41</f>
        <v>2355599.7612521783</v>
      </c>
      <c r="G42" s="4">
        <f>'Policy with NO Fixed bonus'!Q41</f>
        <v>41994.733553469647</v>
      </c>
      <c r="I42" s="4">
        <f>'0.5% fixed bonus Loan Option #1'!E41</f>
        <v>0</v>
      </c>
      <c r="J42" s="4">
        <f>'0.5% fixed bonus Loan Option #1'!P41</f>
        <v>2764317.6397380466</v>
      </c>
      <c r="K42" s="4">
        <f>'0.5% fixed bonus Loan Option #1'!Q41</f>
        <v>107232.8579097921</v>
      </c>
      <c r="N42" s="4">
        <f>'0.5% fixed bonus Loan Option #2'!E41</f>
        <v>0</v>
      </c>
      <c r="O42" s="4">
        <f>'0.5% fixed bonus Loan Option #2'!P41</f>
        <v>2561134.9381788541</v>
      </c>
      <c r="P42" s="4">
        <f>'0.5% fixed bonus Loan Option #2'!Q41</f>
        <v>49866.274766465649</v>
      </c>
    </row>
    <row r="43" spans="1:16" x14ac:dyDescent="0.35">
      <c r="A43">
        <v>39</v>
      </c>
      <c r="B43">
        <v>93</v>
      </c>
      <c r="C43" s="4">
        <v>0</v>
      </c>
      <c r="E43" s="4">
        <f>'Policy with NO Fixed bonus'!E42</f>
        <v>0</v>
      </c>
      <c r="F43" s="4">
        <f>'Policy with NO Fixed bonus'!P42</f>
        <v>2486705.2629273091</v>
      </c>
      <c r="G43" s="4">
        <f>'Policy with NO Fixed bonus'!Q42</f>
        <v>57419.983843665104</v>
      </c>
      <c r="I43" s="4">
        <f>'0.5% fixed bonus Loan Option #1'!E42</f>
        <v>0</v>
      </c>
      <c r="J43" s="4">
        <f>'0.5% fixed bonus Loan Option #1'!P42</f>
        <v>2933719.5453210194</v>
      </c>
      <c r="K43" s="4">
        <f>'0.5% fixed bonus Loan Option #1'!Q42</f>
        <v>143780.52440135228</v>
      </c>
      <c r="N43" s="4">
        <f>'0.5% fixed bonus Loan Option #2'!E42</f>
        <v>0</v>
      </c>
      <c r="O43" s="4">
        <f>'0.5% fixed bonus Loan Option #2'!P42</f>
        <v>2704773.6248434177</v>
      </c>
      <c r="P43" s="4">
        <f>'0.5% fixed bonus Loan Option #2'!Q42</f>
        <v>67941.528260409832</v>
      </c>
    </row>
    <row r="44" spans="1:16" x14ac:dyDescent="0.35">
      <c r="A44">
        <v>40</v>
      </c>
      <c r="B44">
        <v>94</v>
      </c>
      <c r="C44" s="4">
        <v>0</v>
      </c>
      <c r="E44" s="4">
        <f>'Policy with NO Fixed bonus'!E43</f>
        <v>0</v>
      </c>
      <c r="F44" s="4">
        <f>'Policy with NO Fixed bonus'!P43</f>
        <v>2630429.7107029483</v>
      </c>
      <c r="G44" s="4">
        <f>'Policy with NO Fixed bonus'!Q43</f>
        <v>79680.167665122077</v>
      </c>
      <c r="I44" s="4">
        <f>'0.5% fixed bonus Loan Option #1'!E43</f>
        <v>0</v>
      </c>
      <c r="J44" s="4">
        <f>'0.5% fixed bonus Loan Option #1'!P43</f>
        <v>3118907.6087668859</v>
      </c>
      <c r="K44" s="4">
        <f>'0.5% fixed bonus Loan Option #1'!Q43</f>
        <v>189471.63680123538</v>
      </c>
      <c r="N44" s="4">
        <f>'0.5% fixed bonus Loan Option #2'!E43</f>
        <v>0</v>
      </c>
      <c r="O44" s="4">
        <f>'0.5% fixed bonus Loan Option #2'!P43</f>
        <v>2861896.0429753251</v>
      </c>
      <c r="P44" s="4">
        <f>'0.5% fixed bonus Loan Option #2'!Q43</f>
        <v>93222.34156316705</v>
      </c>
    </row>
    <row r="45" spans="1:16" x14ac:dyDescent="0.35">
      <c r="A45">
        <v>41</v>
      </c>
      <c r="B45">
        <v>95</v>
      </c>
      <c r="C45" s="4">
        <v>0</v>
      </c>
      <c r="E45" s="4">
        <f>'Policy with NO Fixed bonus'!E44</f>
        <v>0</v>
      </c>
      <c r="F45" s="4">
        <f>'Policy with NO Fixed bonus'!P44</f>
        <v>2788185.5333451251</v>
      </c>
      <c r="G45" s="4">
        <f>'Policy with NO Fixed bonus'!Q44</f>
        <v>109898.51315540774</v>
      </c>
      <c r="I45" s="4">
        <f>'0.5% fixed bonus Loan Option #1'!E44</f>
        <v>0</v>
      </c>
      <c r="J45" s="4">
        <f>'0.5% fixed bonus Loan Option #1'!P44</f>
        <v>3321566.3133367333</v>
      </c>
      <c r="K45" s="4">
        <f>'0.5% fixed bonus Loan Option #1'!Q44</f>
        <v>245658.5427728002</v>
      </c>
      <c r="N45" s="4">
        <f>'0.5% fixed bonus Loan Option #2'!E44</f>
        <v>0</v>
      </c>
      <c r="O45" s="4">
        <f>'0.5% fixed bonus Loan Option #2'!P44</f>
        <v>3034005.6272616605</v>
      </c>
      <c r="P45" s="4">
        <f>'0.5% fixed bonus Loan Option #2'!Q44</f>
        <v>126898.24077889463</v>
      </c>
    </row>
    <row r="46" spans="1:16" x14ac:dyDescent="0.35">
      <c r="A46">
        <v>42</v>
      </c>
      <c r="B46">
        <v>96</v>
      </c>
      <c r="C46" s="4">
        <v>0</v>
      </c>
      <c r="E46" s="4">
        <f>'Policy with NO Fixed bonus'!E45</f>
        <v>0</v>
      </c>
      <c r="F46" s="4">
        <f>'Policy with NO Fixed bonus'!P45</f>
        <v>2955406.7053458327</v>
      </c>
      <c r="G46" s="4">
        <f>'Policy with NO Fixed bonus'!Q45</f>
        <v>143205.33414662955</v>
      </c>
      <c r="I46" s="4">
        <f>'0.5% fixed bonus Loan Option #1'!E45</f>
        <v>0</v>
      </c>
      <c r="J46" s="4">
        <f>'0.5% fixed bonus Loan Option #1'!P45</f>
        <v>3537397.8337036213</v>
      </c>
      <c r="K46" s="4">
        <f>'0.5% fixed bonus Loan Option #1'!Q45</f>
        <v>307694.67461149162</v>
      </c>
      <c r="N46" s="4">
        <f>'0.5% fixed bonus Loan Option #2'!E45</f>
        <v>0</v>
      </c>
      <c r="O46" s="4">
        <f>'0.5% fixed bonus Loan Option #2'!P45</f>
        <v>3216610.1661012541</v>
      </c>
      <c r="P46" s="4">
        <f>'0.5% fixed bonus Loan Option #2'!Q45</f>
        <v>164147.41029434977</v>
      </c>
    </row>
    <row r="47" spans="1:16" x14ac:dyDescent="0.35">
      <c r="A47">
        <v>43</v>
      </c>
      <c r="B47">
        <v>97</v>
      </c>
      <c r="C47" s="4">
        <v>0</v>
      </c>
      <c r="E47" s="4">
        <f>'Policy with NO Fixed bonus'!E46</f>
        <v>0</v>
      </c>
      <c r="F47" s="4">
        <f>'Policy with NO Fixed bonus'!P46</f>
        <v>3132661.1476665828</v>
      </c>
      <c r="G47" s="4">
        <f>'Policy with NO Fixed bonus'!Q46</f>
        <v>179849.70790741965</v>
      </c>
      <c r="I47" s="4">
        <f>'0.5% fixed bonus Loan Option #1'!E46</f>
        <v>0</v>
      </c>
      <c r="J47" s="4">
        <f>'0.5% fixed bonus Loan Option #1'!P46</f>
        <v>3767258.4028943558</v>
      </c>
      <c r="K47" s="4">
        <f>'0.5% fixed bonus Loan Option #1'!Q46</f>
        <v>376070.08584761946</v>
      </c>
      <c r="N47" s="4">
        <f>'0.5% fixed bonus Loan Option #2'!E46</f>
        <v>0</v>
      </c>
      <c r="O47" s="4">
        <f>'0.5% fixed bonus Loan Option #2'!P46</f>
        <v>3410357.2231188011</v>
      </c>
      <c r="P47" s="4">
        <f>'0.5% fixed bonus Loan Option #2'!Q46</f>
        <v>205271.32952155173</v>
      </c>
    </row>
    <row r="48" spans="1:16" x14ac:dyDescent="0.35">
      <c r="A48">
        <v>44</v>
      </c>
      <c r="B48">
        <v>98</v>
      </c>
      <c r="C48" s="4">
        <v>0</v>
      </c>
      <c r="E48" s="4">
        <f>'Policy with NO Fixed bonus'!E47</f>
        <v>0</v>
      </c>
      <c r="F48" s="4">
        <f>'Policy with NO Fixed bonus'!P47</f>
        <v>3320550.8565265778</v>
      </c>
      <c r="G48" s="4">
        <f>'Policy with NO Fixed bonus'!Q47</f>
        <v>220098.8447794565</v>
      </c>
      <c r="I48" s="4">
        <f>'0.5% fixed bonus Loan Option #1'!E47</f>
        <v>0</v>
      </c>
      <c r="J48" s="4">
        <f>'0.5% fixed bonus Loan Option #1'!P47</f>
        <v>4012059.9090824891</v>
      </c>
      <c r="K48" s="4">
        <f>'0.5% fixed bonus Loan Option #1'!Q47</f>
        <v>451312.17618341604</v>
      </c>
      <c r="N48" s="4">
        <f>'0.5% fixed bonus Loan Option #2'!E47</f>
        <v>0</v>
      </c>
      <c r="O48" s="4">
        <f>'0.5% fixed bonus Loan Option #2'!P47</f>
        <v>3615934.7231535371</v>
      </c>
      <c r="P48" s="4">
        <f>'0.5% fixed bonus Loan Option #2'!Q47</f>
        <v>250594.53487642528</v>
      </c>
    </row>
    <row r="49" spans="1:16" x14ac:dyDescent="0.35">
      <c r="A49">
        <v>45</v>
      </c>
      <c r="B49">
        <v>99</v>
      </c>
      <c r="C49" s="4">
        <v>0</v>
      </c>
      <c r="E49" s="4">
        <f>'Policy with NO Fixed bonus'!E48</f>
        <v>0</v>
      </c>
      <c r="F49" s="4">
        <f>'Policy with NO Fixed bonus'!P48</f>
        <v>3519713.9479181725</v>
      </c>
      <c r="G49" s="4">
        <f>'Policy with NO Fixed bonus'!Q48</f>
        <v>264239.33558369521</v>
      </c>
      <c r="I49" s="4">
        <f>'0.5% fixed bonus Loan Option #1'!E48</f>
        <v>0</v>
      </c>
      <c r="J49" s="4">
        <f>'0.5% fixed bonus Loan Option #1'!P48</f>
        <v>4272773.5131728509</v>
      </c>
      <c r="K49" s="4">
        <f>'0.5% fixed bonus Loan Option #1'!Q48</f>
        <v>533988.39362882404</v>
      </c>
      <c r="N49" s="4">
        <f>'0.5% fixed bonus Loan Option #2'!E48</f>
        <v>0</v>
      </c>
      <c r="O49" s="4">
        <f>'0.5% fixed bonus Loan Option #2'!P48</f>
        <v>3834073.4892171314</v>
      </c>
      <c r="P49" s="4">
        <f>'0.5% fixed bonus Loan Option #2'!Q48</f>
        <v>300466.29152616393</v>
      </c>
    </row>
    <row r="50" spans="1:16" x14ac:dyDescent="0.35">
      <c r="A50">
        <v>46</v>
      </c>
      <c r="B50">
        <v>100</v>
      </c>
      <c r="C50" s="4">
        <v>0</v>
      </c>
      <c r="E50" s="4">
        <f>'Policy with NO Fixed bonus'!E49</f>
        <v>0</v>
      </c>
      <c r="F50" s="4">
        <f>'Policy with NO Fixed bonus'!P49</f>
        <v>3730826.8247932629</v>
      </c>
      <c r="G50" s="4">
        <f>'Policy with NO Fixed bonus'!Q49</f>
        <v>312578.48184206197</v>
      </c>
      <c r="I50" s="4">
        <f>'0.5% fixed bonus Loan Option #1'!E49</f>
        <v>0</v>
      </c>
      <c r="J50" s="4">
        <f>'0.5% fixed bonus Loan Option #1'!P49</f>
        <v>4550433.5015290864</v>
      </c>
      <c r="K50" s="4">
        <f>'0.5% fixed bonus Loan Option #1'!Q49</f>
        <v>624709.1260078582</v>
      </c>
      <c r="N50" s="4">
        <f>'0.5% fixed bonus Loan Option #2'!E49</f>
        <v>0</v>
      </c>
      <c r="O50" s="4">
        <f>'0.5% fixed bonus Loan Option #2'!P49</f>
        <v>4065549.9400277897</v>
      </c>
      <c r="P50" s="4">
        <f>'0.5% fixed bonus Loan Option #2'!Q49</f>
        <v>355262.38245227374</v>
      </c>
    </row>
    <row r="51" spans="1:16" x14ac:dyDescent="0.35">
      <c r="A51">
        <v>47</v>
      </c>
      <c r="B51">
        <v>101</v>
      </c>
      <c r="C51" s="4">
        <v>0</v>
      </c>
      <c r="E51" s="4">
        <f>'Policy with NO Fixed bonus'!E50</f>
        <v>0</v>
      </c>
      <c r="F51" s="4">
        <f>'Policy with NO Fixed bonus'!P50</f>
        <v>3954606.4742808584</v>
      </c>
      <c r="G51" s="4">
        <f>'Policy with NO Fixed bonus'!Q50</f>
        <v>365445.71418209746</v>
      </c>
      <c r="I51" s="4">
        <f>'0.5% fixed bonus Loan Option #1'!E50</f>
        <v>0</v>
      </c>
      <c r="J51" s="4">
        <f>'0.5% fixed bonus Loan Option #1'!P50</f>
        <v>4846141.3891284764</v>
      </c>
      <c r="K51" s="4">
        <f>'0.5% fixed bonus Loan Option #1'!Q50</f>
        <v>724130.79483118653</v>
      </c>
      <c r="N51" s="4">
        <f>'0.5% fixed bonus Loan Option #2'!E50</f>
        <v>0</v>
      </c>
      <c r="O51" s="4">
        <f>'0.5% fixed bonus Loan Option #2'!P50</f>
        <v>4311188.9583417187</v>
      </c>
      <c r="P51" s="4">
        <f>'0.5% fixed bonus Loan Option #2'!Q50</f>
        <v>415387.02288742689</v>
      </c>
    </row>
    <row r="52" spans="1:16" x14ac:dyDescent="0.35">
      <c r="A52">
        <v>48</v>
      </c>
      <c r="B52">
        <v>102</v>
      </c>
      <c r="C52" s="4">
        <v>0</v>
      </c>
      <c r="E52" s="4">
        <f>'Policy with NO Fixed bonus'!E51</f>
        <v>0</v>
      </c>
      <c r="F52" s="4">
        <f>'Policy with NO Fixed bonus'!P51</f>
        <v>4191812.9027377097</v>
      </c>
      <c r="G52" s="4">
        <f>'Policy with NO Fixed bonus'!Q51</f>
        <v>423194.1046340107</v>
      </c>
      <c r="I52" s="4">
        <f>'0.5% fixed bonus Loan Option #1'!E51</f>
        <v>0</v>
      </c>
      <c r="J52" s="4">
        <f>'0.5% fixed bonus Loan Option #1'!P51</f>
        <v>5161070.2894218266</v>
      </c>
      <c r="K52" s="4">
        <f>'0.5% fixed bonus Loan Option #1'!Q51</f>
        <v>832959.16540967207</v>
      </c>
      <c r="N52" s="4">
        <f>'0.5% fixed bonus Loan Option #2'!E51</f>
        <v>0</v>
      </c>
      <c r="O52" s="4">
        <f>'0.5% fixed bonus Loan Option #2'!P51</f>
        <v>4571866.9409566578</v>
      </c>
      <c r="P52" s="4">
        <f>'0.5% fixed bonus Loan Option #2'!Q51</f>
        <v>481274.90872965148</v>
      </c>
    </row>
    <row r="53" spans="1:16" x14ac:dyDescent="0.35">
      <c r="A53">
        <v>49</v>
      </c>
      <c r="B53">
        <v>103</v>
      </c>
      <c r="C53" s="4">
        <v>0</v>
      </c>
      <c r="E53" s="4">
        <f>'Policy with NO Fixed bonus'!E52</f>
        <v>0</v>
      </c>
      <c r="F53" s="4">
        <f>'Policy with NO Fixed bonus'!P52</f>
        <v>4443251.716901972</v>
      </c>
      <c r="G53" s="4">
        <f>'Policy with NO Fixed bonus'!Q52</f>
        <v>486201.97889308818</v>
      </c>
      <c r="I53" s="4">
        <f>'0.5% fixed bonus Loan Option #1'!E52</f>
        <v>0</v>
      </c>
      <c r="J53" s="4">
        <f>'0.5% fixed bonus Loan Option #1'!P52</f>
        <v>5496469.5682342462</v>
      </c>
      <c r="K53" s="4">
        <f>'0.5% fixed bonus Loan Option #1'!Q52</f>
        <v>951952.88802148402</v>
      </c>
      <c r="N53" s="4">
        <f>'0.5% fixed bonus Loan Option #2'!E52</f>
        <v>0</v>
      </c>
      <c r="O53" s="4">
        <f>'0.5% fixed bonus Loan Option #2'!P52</f>
        <v>4848515.0419577062</v>
      </c>
      <c r="P53" s="4">
        <f>'0.5% fixed bonus Loan Option #2'!Q52</f>
        <v>553393.40811934974</v>
      </c>
    </row>
    <row r="54" spans="1:16" x14ac:dyDescent="0.35">
      <c r="A54">
        <v>50</v>
      </c>
      <c r="B54">
        <v>104</v>
      </c>
      <c r="C54" s="4">
        <v>0</v>
      </c>
      <c r="E54" s="4">
        <f>'Policy with NO Fixed bonus'!E53</f>
        <v>0</v>
      </c>
      <c r="F54" s="4">
        <f>'Policy with NO Fixed bonus'!P53</f>
        <v>4709776.85991609</v>
      </c>
      <c r="G54" s="4">
        <f>'Policy with NO Fixed bonus'!Q53</f>
        <v>554874.63500676211</v>
      </c>
      <c r="I54" s="4">
        <f>'0.5% fixed bonus Loan Option #1'!E53</f>
        <v>0</v>
      </c>
      <c r="J54" s="4">
        <f>'0.5% fixed bonus Loan Option #1'!P53</f>
        <v>5853669.8001694717</v>
      </c>
      <c r="K54" s="4">
        <f>'0.5% fixed bonus Loan Option #1'!Q53</f>
        <v>1081927.2859460711</v>
      </c>
      <c r="N54" s="4">
        <f>'0.5% fixed bonus Loan Option #2'!E53</f>
        <v>0</v>
      </c>
      <c r="O54" s="4">
        <f>'0.5% fixed bonus Loan Option #2'!P53</f>
        <v>5142122.6215157649</v>
      </c>
      <c r="P54" s="4">
        <f>'0.5% fixed bonus Loan Option #2'!Q53</f>
        <v>632244.90598549042</v>
      </c>
    </row>
    <row r="55" spans="1:16" x14ac:dyDescent="0.35">
      <c r="A55">
        <v>51</v>
      </c>
      <c r="B55">
        <v>105</v>
      </c>
      <c r="C55" s="4">
        <v>0</v>
      </c>
      <c r="E55" s="4">
        <f>'Policy with NO Fixed bonus'!E54</f>
        <v>0</v>
      </c>
      <c r="F55" s="4">
        <f>'Policy with NO Fixed bonus'!P54</f>
        <v>4992293.5115110558</v>
      </c>
      <c r="G55" s="4">
        <f>'Policy with NO Fixed bonus'!Q54</f>
        <v>629646.17535626143</v>
      </c>
      <c r="I55" s="4">
        <f>'0.5% fixed bonus Loan Option #1'!E54</f>
        <v>0</v>
      </c>
      <c r="J55" s="4">
        <f>'0.5% fixed bonus Loan Option #1'!P54</f>
        <v>6234088.0471804878</v>
      </c>
      <c r="K55" s="4">
        <f>'0.5% fixed bonus Loan Option #1'!Q54</f>
        <v>1223758.4072459172</v>
      </c>
      <c r="N55" s="4">
        <f>'0.5% fixed bonus Loan Option #2'!E54</f>
        <v>0</v>
      </c>
      <c r="O55" s="4">
        <f>'0.5% fixed bonus Loan Option #2'!P54</f>
        <v>5453740.9133366384</v>
      </c>
      <c r="P55" s="4">
        <f>'0.5% fixed bonus Loan Option #2'!Q54</f>
        <v>718369.31202984974</v>
      </c>
    </row>
    <row r="56" spans="1:16" x14ac:dyDescent="0.35">
      <c r="A56">
        <v>52</v>
      </c>
      <c r="B56">
        <v>106</v>
      </c>
      <c r="C56" s="4">
        <v>0</v>
      </c>
      <c r="E56" s="4">
        <f>'Policy with NO Fixed bonus'!E55</f>
        <v>0</v>
      </c>
      <c r="F56" s="4">
        <f>'Policy with NO Fixed bonus'!P55</f>
        <v>5291761.1622017184</v>
      </c>
      <c r="G56" s="4">
        <f>'Policy with NO Fixed bonus'!Q55</f>
        <v>710981.45923918393</v>
      </c>
      <c r="I56" s="4">
        <f>'0.5% fixed bonus Loan Option #1'!E55</f>
        <v>0</v>
      </c>
      <c r="J56" s="4">
        <f>'0.5% fixed bonus Loan Option #1'!P55</f>
        <v>6639233.4802472191</v>
      </c>
      <c r="K56" s="4">
        <f>'0.5% fixed bonus Loan Option #1'!Q55</f>
        <v>1378387.3583159205</v>
      </c>
      <c r="N56" s="4">
        <f>'0.5% fixed bonus Loan Option #2'!E55</f>
        <v>0</v>
      </c>
      <c r="O56" s="4">
        <f>'0.5% fixed bonus Loan Option #2'!P55</f>
        <v>5784486.9246969856</v>
      </c>
      <c r="P56" s="4">
        <f>'0.5% fixed bonus Loan Option #2'!Q55</f>
        <v>812346.74332485721</v>
      </c>
    </row>
    <row r="57" spans="1:16" x14ac:dyDescent="0.35">
      <c r="A57">
        <v>53</v>
      </c>
      <c r="B57">
        <v>107</v>
      </c>
      <c r="C57" s="4">
        <v>0</v>
      </c>
      <c r="E57" s="4">
        <f>'Policy with NO Fixed bonus'!E56</f>
        <v>0</v>
      </c>
      <c r="F57" s="4">
        <f>'Policy with NO Fixed bonus'!P56</f>
        <v>5609196.8719338216</v>
      </c>
      <c r="G57" s="4">
        <f>'Policy with NO Fixed bonus'!Q56</f>
        <v>799378.18382316083</v>
      </c>
      <c r="I57" s="4">
        <f>'0.5% fixed bonus Loan Option #1'!E56</f>
        <v>0</v>
      </c>
      <c r="J57" s="4">
        <f>'0.5% fixed bonus Loan Option #1'!P56</f>
        <v>7070713.3664632877</v>
      </c>
      <c r="K57" s="4">
        <f>'0.5% fixed bonus Loan Option #1'!Q56</f>
        <v>1546824.9384354241</v>
      </c>
      <c r="N57" s="4">
        <f>'0.5% fixed bonus Loan Option #2'!E56</f>
        <v>0</v>
      </c>
      <c r="O57" s="4">
        <f>'0.5% fixed bonus Loan Option #2'!P56</f>
        <v>6135547.583895429</v>
      </c>
      <c r="P57" s="4">
        <f>'0.5% fixed bonus Loan Option #2'!Q56</f>
        <v>914800.39345469419</v>
      </c>
    </row>
    <row r="58" spans="1:16" x14ac:dyDescent="0.35">
      <c r="A58">
        <v>54</v>
      </c>
      <c r="B58">
        <v>108</v>
      </c>
      <c r="C58" s="4">
        <v>0</v>
      </c>
      <c r="E58" s="4">
        <f>'Policy with NO Fixed bonus'!E57</f>
        <v>0</v>
      </c>
      <c r="F58" s="4">
        <f>'Policy with NO Fixed bonus'!P57</f>
        <v>5945678.724249851</v>
      </c>
      <c r="G58" s="4">
        <f>'Policy with NO Fixed bonus'!Q57</f>
        <v>895369.10173365753</v>
      </c>
      <c r="I58" s="4">
        <f>'0.5% fixed bonus Loan Option #1'!E57</f>
        <v>0</v>
      </c>
      <c r="J58" s="4">
        <f>'0.5% fixed bonus Loan Option #1'!P57</f>
        <v>7530239.4452834018</v>
      </c>
      <c r="K58" s="4">
        <f>'0.5% fixed bonus Loan Option #1'!Q57</f>
        <v>1730156.5958541445</v>
      </c>
      <c r="N58" s="4">
        <f>'0.5% fixed bonus Loan Option #2'!E57</f>
        <v>0</v>
      </c>
      <c r="O58" s="4">
        <f>'0.5% fixed bonus Loan Option #2'!P57</f>
        <v>6508184.1508964291</v>
      </c>
      <c r="P58" s="4">
        <f>'0.5% fixed bonus Loan Option #2'!Q57</f>
        <v>1026399.600933657</v>
      </c>
    </row>
    <row r="59" spans="1:16" x14ac:dyDescent="0.35">
      <c r="A59">
        <v>55</v>
      </c>
      <c r="B59">
        <v>109</v>
      </c>
      <c r="C59" s="4">
        <v>0</v>
      </c>
      <c r="E59" s="4">
        <f>'Policy with NO Fixed bonus'!E58</f>
        <v>0</v>
      </c>
      <c r="F59" s="4">
        <f>'Policy with NO Fixed bonus'!P58</f>
        <v>6302349.4877048414</v>
      </c>
      <c r="G59" s="4">
        <f>'Policy with NO Fixed bonus'!Q58</f>
        <v>999524.38406283874</v>
      </c>
      <c r="I59" s="4">
        <f>'0.5% fixed bonus Loan Option #1'!E58</f>
        <v>0</v>
      </c>
      <c r="J59" s="4">
        <f>'0.5% fixed bonus Loan Option #1'!P58</f>
        <v>8019634.7192268223</v>
      </c>
      <c r="K59" s="4">
        <f>'0.5% fixed bonus Loan Option #1'!Q58</f>
        <v>1929547.7273261026</v>
      </c>
      <c r="N59" s="4">
        <f>'0.5% fixed bonus Loan Option #2'!E58</f>
        <v>0</v>
      </c>
      <c r="O59" s="4">
        <f>'0.5% fixed bonus Loan Option #2'!P58</f>
        <v>6903736.9079548838</v>
      </c>
      <c r="P59" s="4">
        <f>'0.5% fixed bonus Loan Option #2'!Q58</f>
        <v>1147863.1304939734</v>
      </c>
    </row>
    <row r="60" spans="1:16" x14ac:dyDescent="0.35">
      <c r="A60">
        <v>56</v>
      </c>
      <c r="B60">
        <v>110</v>
      </c>
      <c r="C60" s="4">
        <v>0</v>
      </c>
      <c r="E60" s="4">
        <f>'Policy with NO Fixed bonus'!E59</f>
        <v>0</v>
      </c>
      <c r="F60" s="4">
        <f>'Policy with NO Fixed bonus'!P59</f>
        <v>6680420.4969671322</v>
      </c>
      <c r="G60" s="4">
        <f>'Policy with NO Fixed bonus'!Q59</f>
        <v>1112454.1381430291</v>
      </c>
      <c r="I60" s="4">
        <f>'0.5% fixed bonus Loan Option #1'!E59</f>
        <v>0</v>
      </c>
      <c r="J60" s="4">
        <f>'0.5% fixed bonus Loan Option #1'!P59</f>
        <v>8540840.6859765649</v>
      </c>
      <c r="K60" s="4">
        <f>'0.5% fixed bonus Loan Option #1'!Q59</f>
        <v>2146249.3444808088</v>
      </c>
      <c r="N60" s="4">
        <f>'0.5% fixed bonus Loan Option #2'!E59</f>
        <v>0</v>
      </c>
      <c r="O60" s="4">
        <f>'0.5% fixed bonus Loan Option #2'!P59</f>
        <v>7323630.148084647</v>
      </c>
      <c r="P60" s="4">
        <f>'0.5% fixed bonus Loan Option #2'!Q59</f>
        <v>1279962.6817506915</v>
      </c>
    </row>
    <row r="61" spans="1:16" x14ac:dyDescent="0.35">
      <c r="A61">
        <v>57</v>
      </c>
      <c r="B61">
        <v>111</v>
      </c>
      <c r="C61" s="4">
        <v>0</v>
      </c>
      <c r="E61" s="4">
        <f>'Policy with NO Fixed bonus'!E60</f>
        <v>0</v>
      </c>
      <c r="F61" s="4">
        <f>'Policy with NO Fixed bonus'!P60</f>
        <v>7081175.7667851606</v>
      </c>
      <c r="G61" s="4">
        <f>'Policy with NO Fixed bonus'!Q60</f>
        <v>1234811.0900198519</v>
      </c>
      <c r="I61" s="4">
        <f>'0.5% fixed bonus Loan Option #1'!E60</f>
        <v>0</v>
      </c>
      <c r="J61" s="4">
        <f>'0.5% fixed bonus Loan Option #1'!P60</f>
        <v>9095925.0405650418</v>
      </c>
      <c r="K61" s="4">
        <f>'0.5% fixed bonus Loan Option #1'!Q60</f>
        <v>2381604.131994498</v>
      </c>
      <c r="N61" s="4">
        <f>'0.5% fixed bonus Loan Option #2'!E60</f>
        <v>0</v>
      </c>
      <c r="O61" s="4">
        <f>'0.5% fixed bonus Loan Option #2'!P60</f>
        <v>7769377.4803784797</v>
      </c>
      <c r="P61" s="4">
        <f>'0.5% fixed bonus Loan Option #2'!Q60</f>
        <v>1423526.6407278264</v>
      </c>
    </row>
    <row r="62" spans="1:16" x14ac:dyDescent="0.35">
      <c r="A62">
        <v>58</v>
      </c>
      <c r="B62">
        <v>112</v>
      </c>
      <c r="C62" s="4">
        <v>0</v>
      </c>
      <c r="E62" s="4">
        <f>'Policy with NO Fixed bonus'!E61</f>
        <v>0</v>
      </c>
      <c r="F62" s="4">
        <f>'Policy with NO Fixed bonus'!P61</f>
        <v>7505976.3527922705</v>
      </c>
      <c r="G62" s="4">
        <f>'Policy with NO Fixed bonus'!Q61</f>
        <v>1367293.442188696</v>
      </c>
      <c r="I62" s="4">
        <f>'0.5% fixed bonus Loan Option #1'!E61</f>
        <v>0</v>
      </c>
      <c r="J62" s="4">
        <f>'0.5% fixed bonus Loan Option #1'!P61</f>
        <v>9687089.8782017697</v>
      </c>
      <c r="K62" s="4">
        <f>'0.5% fixed bonus Loan Option #1'!Q61</f>
        <v>2637052.9242026983</v>
      </c>
      <c r="N62" s="4">
        <f>'0.5% fixed bonus Loan Option #2'!E61</f>
        <v>0</v>
      </c>
      <c r="O62" s="4">
        <f>'0.5% fixed bonus Loan Option #2'!P61</f>
        <v>8242587.4724048274</v>
      </c>
      <c r="P62" s="4">
        <f>'0.5% fixed bonus Loan Option #2'!Q61</f>
        <v>1579444.0907716416</v>
      </c>
    </row>
    <row r="63" spans="1:16" x14ac:dyDescent="0.35">
      <c r="A63">
        <v>59</v>
      </c>
      <c r="B63">
        <v>113</v>
      </c>
      <c r="C63" s="4">
        <v>0</v>
      </c>
      <c r="E63" s="4">
        <f>'Policy with NO Fixed bonus'!E62</f>
        <v>0</v>
      </c>
      <c r="F63" s="4">
        <f>'Policy with NO Fixed bonus'!P62</f>
        <v>7956264.9739598073</v>
      </c>
      <c r="G63" s="4">
        <f>'Policy with NO Fixed bonus'!Q62</f>
        <v>1510647.9178260537</v>
      </c>
      <c r="I63" s="4">
        <f>'0.5% fixed bonus Loan Option #1'!E62</f>
        <v>0</v>
      </c>
      <c r="J63" s="4">
        <f>'0.5% fixed bonus Loan Option #1'!P62</f>
        <v>10316680.430284886</v>
      </c>
      <c r="K63" s="4">
        <f>'0.5% fixed bonus Loan Option #1'!Q62</f>
        <v>2914141.6285858611</v>
      </c>
      <c r="N63" s="4">
        <f>'0.5% fixed bonus Loan Option #2'!E62</f>
        <v>0</v>
      </c>
      <c r="O63" s="4">
        <f>'0.5% fixed bonus Loan Option #2'!P62</f>
        <v>8744969.6512029748</v>
      </c>
      <c r="P63" s="4">
        <f>'0.5% fixed bonus Loan Option #2'!Q62</f>
        <v>1748669.10048813</v>
      </c>
    </row>
    <row r="64" spans="1:16" x14ac:dyDescent="0.35">
      <c r="A64">
        <v>60</v>
      </c>
      <c r="B64">
        <v>114</v>
      </c>
      <c r="C64" s="4">
        <v>0</v>
      </c>
      <c r="E64" s="4">
        <f>'Policy with NO Fixed bonus'!E63</f>
        <v>0</v>
      </c>
      <c r="F64" s="4">
        <f>'Policy with NO Fixed bonus'!P63</f>
        <v>8433570.9123973958</v>
      </c>
      <c r="G64" s="4">
        <f>'Policy with NO Fixed bonus'!Q63</f>
        <v>1665673.0034569548</v>
      </c>
      <c r="I64" s="4">
        <f>'0.5% fixed bonus Loan Option #1'!E63</f>
        <v>0</v>
      </c>
      <c r="J64" s="4">
        <f>'0.5% fixed bonus Loan Option #1'!P63</f>
        <v>10987194.368253404</v>
      </c>
      <c r="K64" s="4">
        <f>'0.5% fixed bonus Loan Option #1'!Q63</f>
        <v>3214528.6264694287</v>
      </c>
      <c r="N64" s="4">
        <f>'0.5% fixed bonus Loan Option #2'!E63</f>
        <v>0</v>
      </c>
      <c r="O64" s="4">
        <f>'0.5% fixed bonus Loan Option #2'!P63</f>
        <v>9278340.8857775927</v>
      </c>
      <c r="P64" s="4">
        <f>'0.5% fixed bonus Loan Option #2'!Q63</f>
        <v>1932225.3075270057</v>
      </c>
    </row>
    <row r="65" spans="1:16" x14ac:dyDescent="0.35">
      <c r="A65">
        <v>61</v>
      </c>
      <c r="B65">
        <v>115</v>
      </c>
      <c r="C65" s="4">
        <v>0</v>
      </c>
      <c r="E65" s="4">
        <f>'Policy with NO Fixed bonus'!E64</f>
        <v>0</v>
      </c>
      <c r="F65" s="4">
        <f>'Policy with NO Fixed bonus'!P64</f>
        <v>8939515.2071412392</v>
      </c>
      <c r="G65" s="4">
        <f>'Policy with NO Fixed bonus'!Q64</f>
        <v>1833222.4027537759</v>
      </c>
      <c r="I65" s="4">
        <f>'0.5% fixed bonus Loan Option #1'!E64</f>
        <v>0</v>
      </c>
      <c r="J65" s="4">
        <f>'0.5% fixed bonus Loan Option #1'!P64</f>
        <v>11701291.712189876</v>
      </c>
      <c r="K65" s="4">
        <f>'0.5% fixed bonus Loan Option #1'!Q64</f>
        <v>3539992.6833167011</v>
      </c>
      <c r="N65" s="4">
        <f>'0.5% fixed bonus Loan Option #2'!E64</f>
        <v>0</v>
      </c>
      <c r="O65" s="4">
        <f>'0.5% fixed bonus Loan Option #2'!P64</f>
        <v>9844632.1754618846</v>
      </c>
      <c r="P65" s="4">
        <f>'0.5% fixed bonus Loan Option #2'!Q64</f>
        <v>2131210.8182987683</v>
      </c>
    </row>
    <row r="66" spans="1:16" x14ac:dyDescent="0.35">
      <c r="A66">
        <v>62</v>
      </c>
      <c r="B66">
        <v>116</v>
      </c>
      <c r="C66" s="4">
        <v>0</v>
      </c>
      <c r="E66" s="4">
        <f>'Policy with NO Fixed bonus'!E65</f>
        <v>0</v>
      </c>
      <c r="F66" s="4">
        <f>'Policy with NO Fixed bonus'!P65</f>
        <v>9475816.1595697142</v>
      </c>
      <c r="G66" s="4">
        <f>'Policy with NO Fixed bonus'!Q65</f>
        <v>2014208.7149628773</v>
      </c>
      <c r="I66" s="4">
        <f>'0.5% fixed bonus Loan Option #1'!E65</f>
        <v>0</v>
      </c>
      <c r="J66" s="4">
        <f>'0.5% fixed bonus Loan Option #1'!P65</f>
        <v>12461805.383482216</v>
      </c>
      <c r="K66" s="4">
        <f>'0.5% fixed bonus Loan Option #1'!Q65</f>
        <v>3892441.4031653833</v>
      </c>
      <c r="N66" s="4">
        <f>'0.5% fixed bonus Loan Option #2'!E65</f>
        <v>0</v>
      </c>
      <c r="O66" s="4">
        <f>'0.5% fixed bonus Loan Option #2'!P65</f>
        <v>10445895.870081091</v>
      </c>
      <c r="P66" s="4">
        <f>'0.5% fixed bonus Loan Option #2'!Q65</f>
        <v>2346803.4450598191</v>
      </c>
    </row>
    <row r="67" spans="1:16" x14ac:dyDescent="0.35">
      <c r="A67">
        <v>63</v>
      </c>
      <c r="B67">
        <v>117</v>
      </c>
      <c r="C67" s="4">
        <v>0</v>
      </c>
      <c r="E67" s="4">
        <f>'Policy with NO Fixed bonus'!E66</f>
        <v>0</v>
      </c>
      <c r="F67" s="4">
        <f>'Policy with NO Fixed bonus'!P66</f>
        <v>10044295.169143898</v>
      </c>
      <c r="G67" s="4">
        <f>'Policy with NO Fixed bonus'!Q66</f>
        <v>2209607.3523067199</v>
      </c>
      <c r="I67" s="4">
        <f>'0.5% fixed bonus Loan Option #1'!E66</f>
        <v>0</v>
      </c>
      <c r="J67" s="4">
        <f>'0.5% fixed bonus Loan Option #1'!P66</f>
        <v>13271752.44340856</v>
      </c>
      <c r="K67" s="4">
        <f>'0.5% fixed bonus Loan Option #1'!Q66</f>
        <v>4273920.2640758865</v>
      </c>
      <c r="N67" s="4">
        <f>'0.5% fixed bonus Loan Option #2'!E66</f>
        <v>0</v>
      </c>
      <c r="O67" s="4">
        <f>'0.5% fixed bonus Loan Option #2'!P66</f>
        <v>11084313.349511256</v>
      </c>
      <c r="P67" s="4">
        <f>'0.5% fixed bonus Loan Option #2'!Q66</f>
        <v>2580266.3032389209</v>
      </c>
    </row>
    <row r="68" spans="1:16" x14ac:dyDescent="0.35">
      <c r="A68">
        <v>64</v>
      </c>
      <c r="B68">
        <v>118</v>
      </c>
      <c r="C68" s="4">
        <v>0</v>
      </c>
      <c r="E68" s="4">
        <f>'Policy with NO Fixed bonus'!E67</f>
        <v>0</v>
      </c>
      <c r="F68" s="4">
        <f>'Policy with NO Fixed bonus'!P67</f>
        <v>10646882.919292532</v>
      </c>
      <c r="G68" s="4">
        <f>'Policy with NO Fixed bonus'!Q67</f>
        <v>2420460.7116134949</v>
      </c>
      <c r="I68" s="4">
        <f>'0.5% fixed bonus Loan Option #1'!E67</f>
        <v>0</v>
      </c>
      <c r="J68" s="4">
        <f>'0.5% fixed bonus Loan Option #1'!P67</f>
        <v>14134346.062230118</v>
      </c>
      <c r="K68" s="4">
        <f>'0.5% fixed bonus Loan Option #1'!Q67</f>
        <v>4686622.2739308104</v>
      </c>
      <c r="N68" s="4">
        <f>'0.5% fixed bonus Loan Option #2'!E67</f>
        <v>0</v>
      </c>
      <c r="O68" s="4">
        <f>'0.5% fixed bonus Loan Option #2'!P67</f>
        <v>11762203.191998126</v>
      </c>
      <c r="P68" s="4">
        <f>'0.5% fixed bonus Loan Option #2'!Q67</f>
        <v>2832953.7934121732</v>
      </c>
    </row>
    <row r="69" spans="1:16" x14ac:dyDescent="0.35">
      <c r="A69">
        <v>65</v>
      </c>
      <c r="B69">
        <v>119</v>
      </c>
      <c r="C69" s="4">
        <v>0</v>
      </c>
      <c r="E69" s="4">
        <f>'Policy with NO Fixed bonus'!E68</f>
        <v>0</v>
      </c>
      <c r="F69" s="4">
        <f>'Policy with NO Fixed bonus'!P68</f>
        <v>11285625.934450084</v>
      </c>
      <c r="G69" s="4">
        <f>'Policy with NO Fixed bonus'!Q68</f>
        <v>2647882.6163870953</v>
      </c>
      <c r="I69" s="4">
        <f>'0.5% fixed bonus Loan Option #1'!E68</f>
        <v>0</v>
      </c>
      <c r="J69" s="4">
        <f>'0.5% fixed bonus Loan Option #1'!P68</f>
        <v>15053008.266275076</v>
      </c>
      <c r="K69" s="4">
        <f>'0.5% fixed bonus Loan Option #1'!Q68</f>
        <v>5132898.288560804</v>
      </c>
      <c r="N69" s="4">
        <f>'0.5% fixed bonus Loan Option #2'!E68</f>
        <v>0</v>
      </c>
      <c r="O69" s="4">
        <f>'0.5% fixed bonus Loan Option #2'!P68</f>
        <v>12482029.862485074</v>
      </c>
      <c r="P69" s="4">
        <f>'0.5% fixed bonus Loan Option #2'!Q68</f>
        <v>3106317.9939698223</v>
      </c>
    </row>
    <row r="70" spans="1:16" x14ac:dyDescent="0.35">
      <c r="A70">
        <v>66</v>
      </c>
      <c r="B70">
        <v>120</v>
      </c>
      <c r="C70" s="4">
        <v>0</v>
      </c>
      <c r="E70" s="4">
        <f>'Policy with NO Fixed bonus'!E69</f>
        <v>0</v>
      </c>
      <c r="F70" s="4">
        <f>'Policy with NO Fixed bonus'!P69</f>
        <v>11962693.53051709</v>
      </c>
      <c r="G70" s="4">
        <f>'Policy with NO Fixed bonus'!Q69</f>
        <v>2893063.0465509519</v>
      </c>
      <c r="I70" s="4">
        <f>'0.5% fixed bonus Loan Option #1'!E69</f>
        <v>0</v>
      </c>
      <c r="J70" s="4">
        <f>'0.5% fixed bonus Loan Option #1'!P69</f>
        <v>16031383.513582956</v>
      </c>
      <c r="K70" s="4">
        <f>'0.5% fixed bonus Loan Option #1'!Q69</f>
        <v>5615268.0369829703</v>
      </c>
      <c r="N70" s="4">
        <f>'0.5% fixed bonus Loan Option #2'!E69</f>
        <v>0</v>
      </c>
      <c r="O70" s="4">
        <f>'0.5% fixed bonus Loan Option #2'!P69</f>
        <v>13246412.954204027</v>
      </c>
      <c r="P70" s="4">
        <f>'0.5% fixed bonus Loan Option #2'!Q69</f>
        <v>3401915.4922630135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432A52-B197-43EB-9CD1-7FDC38FE717D}">
  <dimension ref="A2:D16"/>
  <sheetViews>
    <sheetView showGridLines="0" tabSelected="1" workbookViewId="0">
      <selection activeCell="C5" sqref="C5"/>
    </sheetView>
  </sheetViews>
  <sheetFormatPr defaultRowHeight="14.5" x14ac:dyDescent="0.35"/>
  <cols>
    <col min="1" max="1" width="23.26953125" customWidth="1"/>
    <col min="2" max="2" width="28.90625" customWidth="1"/>
    <col min="3" max="3" width="31.26953125" customWidth="1"/>
    <col min="4" max="4" width="31.7265625" customWidth="1"/>
  </cols>
  <sheetData>
    <row r="2" spans="1:4" x14ac:dyDescent="0.35">
      <c r="A2" s="14" t="s">
        <v>45</v>
      </c>
    </row>
    <row r="3" spans="1:4" x14ac:dyDescent="0.35">
      <c r="A3" t="s">
        <v>37</v>
      </c>
    </row>
    <row r="4" spans="1:4" x14ac:dyDescent="0.35">
      <c r="A4" t="s">
        <v>38</v>
      </c>
    </row>
    <row r="5" spans="1:4" x14ac:dyDescent="0.35">
      <c r="A5" t="s">
        <v>52</v>
      </c>
    </row>
    <row r="6" spans="1:4" x14ac:dyDescent="0.35">
      <c r="A6" t="s">
        <v>48</v>
      </c>
    </row>
    <row r="9" spans="1:4" ht="36.5" customHeight="1" x14ac:dyDescent="0.35">
      <c r="B9" s="21" t="s">
        <v>46</v>
      </c>
      <c r="C9" s="21"/>
      <c r="D9" s="21"/>
    </row>
    <row r="10" spans="1:4" ht="62.5" customHeight="1" x14ac:dyDescent="0.35">
      <c r="A10" s="20" t="s">
        <v>47</v>
      </c>
      <c r="B10" s="17" t="s">
        <v>51</v>
      </c>
      <c r="C10" s="22" t="s">
        <v>49</v>
      </c>
      <c r="D10" s="17" t="s">
        <v>50</v>
      </c>
    </row>
    <row r="11" spans="1:4" x14ac:dyDescent="0.35">
      <c r="A11" s="15" t="s">
        <v>39</v>
      </c>
      <c r="B11" s="18">
        <v>57564</v>
      </c>
      <c r="C11" s="18">
        <f>B11</f>
        <v>57564</v>
      </c>
      <c r="D11" s="18">
        <v>54498</v>
      </c>
    </row>
    <row r="12" spans="1:4" x14ac:dyDescent="0.35">
      <c r="A12" s="16">
        <v>5.0000000000000001E-3</v>
      </c>
      <c r="B12" s="18">
        <v>66110</v>
      </c>
      <c r="C12" s="18">
        <v>62482</v>
      </c>
      <c r="D12" s="19" t="s">
        <v>43</v>
      </c>
    </row>
    <row r="13" spans="1:4" x14ac:dyDescent="0.35">
      <c r="A13" s="16">
        <v>0.01</v>
      </c>
      <c r="B13" s="18">
        <v>75861</v>
      </c>
      <c r="C13" s="18">
        <v>67738</v>
      </c>
      <c r="D13" s="18">
        <v>71570</v>
      </c>
    </row>
    <row r="14" spans="1:4" x14ac:dyDescent="0.35">
      <c r="A14" s="16">
        <v>1.4999999999999999E-2</v>
      </c>
      <c r="B14" s="18">
        <v>86982</v>
      </c>
      <c r="C14" s="18">
        <v>73354</v>
      </c>
      <c r="D14" s="18">
        <v>81910</v>
      </c>
    </row>
    <row r="15" spans="1:4" x14ac:dyDescent="0.35">
      <c r="A15" s="16">
        <v>0.02</v>
      </c>
      <c r="B15" s="18">
        <v>99664</v>
      </c>
      <c r="C15" s="18">
        <v>79352</v>
      </c>
      <c r="D15" s="18">
        <v>93669</v>
      </c>
    </row>
    <row r="16" spans="1:4" x14ac:dyDescent="0.35">
      <c r="A16" t="s">
        <v>44</v>
      </c>
    </row>
  </sheetData>
  <mergeCells count="1">
    <mergeCell ref="B9:D9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E7761F-F22E-4682-8251-80921E429EEA}">
  <dimension ref="A1:CK71"/>
  <sheetViews>
    <sheetView zoomScale="60" zoomScaleNormal="60" workbookViewId="0">
      <selection activeCell="J38" sqref="J38"/>
    </sheetView>
  </sheetViews>
  <sheetFormatPr defaultRowHeight="14.5" x14ac:dyDescent="0.35"/>
  <cols>
    <col min="3" max="3" width="3.26953125" customWidth="1"/>
    <col min="4" max="4" width="15.7265625" bestFit="1" customWidth="1"/>
    <col min="5" max="5" width="19.81640625" bestFit="1" customWidth="1"/>
    <col min="6" max="6" width="17.54296875" bestFit="1" customWidth="1"/>
    <col min="7" max="7" width="17.7265625" bestFit="1" customWidth="1"/>
    <col min="8" max="8" width="16" bestFit="1" customWidth="1"/>
    <col min="9" max="9" width="21.26953125" bestFit="1" customWidth="1"/>
    <col min="10" max="10" width="21.26953125" customWidth="1"/>
    <col min="11" max="11" width="51.54296875" customWidth="1"/>
    <col min="12" max="12" width="29.1796875" bestFit="1" customWidth="1"/>
    <col min="13" max="13" width="24.81640625" bestFit="1" customWidth="1"/>
    <col min="14" max="14" width="37.54296875" bestFit="1" customWidth="1"/>
    <col min="15" max="15" width="27.81640625" bestFit="1" customWidth="1"/>
    <col min="16" max="16" width="15.26953125" bestFit="1" customWidth="1"/>
    <col min="17" max="17" width="15.26953125" customWidth="1"/>
    <col min="18" max="18" width="26.26953125" customWidth="1"/>
    <col min="19" max="19" width="44.7265625" bestFit="1" customWidth="1"/>
    <col min="23" max="23" width="19.1796875" bestFit="1" customWidth="1"/>
    <col min="24" max="24" width="14.7265625" bestFit="1" customWidth="1"/>
    <col min="89" max="89" width="10.7265625" bestFit="1" customWidth="1"/>
  </cols>
  <sheetData>
    <row r="1" spans="1:23" x14ac:dyDescent="0.35">
      <c r="F1" t="s">
        <v>0</v>
      </c>
      <c r="I1" t="s">
        <v>1</v>
      </c>
      <c r="L1" t="s">
        <v>40</v>
      </c>
      <c r="M1" t="s">
        <v>2</v>
      </c>
      <c r="N1" t="s">
        <v>3</v>
      </c>
      <c r="O1" s="1" t="s">
        <v>4</v>
      </c>
      <c r="S1" t="s">
        <v>5</v>
      </c>
    </row>
    <row r="2" spans="1:23" x14ac:dyDescent="0.35">
      <c r="F2" s="2">
        <v>0.05</v>
      </c>
      <c r="I2" s="3">
        <v>0</v>
      </c>
      <c r="J2" s="3"/>
      <c r="L2" s="3">
        <v>0</v>
      </c>
      <c r="M2" s="3">
        <v>0.06</v>
      </c>
      <c r="N2" s="2" t="s">
        <v>41</v>
      </c>
      <c r="O2" s="1">
        <v>1</v>
      </c>
      <c r="P2" t="s">
        <v>6</v>
      </c>
      <c r="Q2">
        <v>99</v>
      </c>
      <c r="S2" t="s">
        <v>7</v>
      </c>
      <c r="U2" t="s">
        <v>8</v>
      </c>
    </row>
    <row r="3" spans="1:23" x14ac:dyDescent="0.35">
      <c r="A3" t="s">
        <v>9</v>
      </c>
      <c r="B3" t="s">
        <v>10</v>
      </c>
      <c r="D3" t="s">
        <v>11</v>
      </c>
      <c r="E3" t="s">
        <v>12</v>
      </c>
      <c r="F3" t="s">
        <v>13</v>
      </c>
      <c r="G3" t="s">
        <v>14</v>
      </c>
      <c r="H3" t="s">
        <v>15</v>
      </c>
      <c r="I3" t="s">
        <v>16</v>
      </c>
      <c r="J3" t="s">
        <v>17</v>
      </c>
      <c r="K3" t="s">
        <v>18</v>
      </c>
      <c r="L3" t="s">
        <v>19</v>
      </c>
      <c r="M3" t="s">
        <v>20</v>
      </c>
      <c r="N3" t="s">
        <v>21</v>
      </c>
      <c r="O3" t="s">
        <v>22</v>
      </c>
      <c r="P3" t="s">
        <v>23</v>
      </c>
      <c r="Q3" t="s">
        <v>24</v>
      </c>
      <c r="R3" t="s">
        <v>25</v>
      </c>
      <c r="S3" t="s">
        <v>26</v>
      </c>
      <c r="U3" t="s">
        <v>27</v>
      </c>
    </row>
    <row r="4" spans="1:23" x14ac:dyDescent="0.35">
      <c r="A4">
        <v>1</v>
      </c>
      <c r="B4">
        <v>55</v>
      </c>
      <c r="D4" s="4">
        <v>35000</v>
      </c>
      <c r="E4" s="4">
        <v>0</v>
      </c>
      <c r="F4" s="4">
        <v>0</v>
      </c>
      <c r="G4" s="4">
        <v>0</v>
      </c>
      <c r="H4">
        <f>-6365*(1.1)</f>
        <v>-7001.5000000000009</v>
      </c>
      <c r="I4" s="4">
        <f>-D4*$I$2</f>
        <v>0</v>
      </c>
      <c r="J4" s="4">
        <f>D4+H4</f>
        <v>27998.5</v>
      </c>
      <c r="K4" s="4">
        <f>D4+H4+I4</f>
        <v>27998.5</v>
      </c>
      <c r="L4" s="4">
        <f>(K4-G4)*IF(A4&lt;$Q$2,0,IF($O$2=1,$M$2,1)*$L$2)</f>
        <v>0</v>
      </c>
      <c r="M4" s="5">
        <f>MAX(0,(K4-G4))*$M$2</f>
        <v>1679.9099999999999</v>
      </c>
      <c r="N4" s="4"/>
      <c r="O4" s="4"/>
      <c r="P4" s="4">
        <f>K4+L4+M4+O4+N4</f>
        <v>29678.41</v>
      </c>
      <c r="Q4" s="4">
        <f>P4-G4</f>
        <v>29678.41</v>
      </c>
      <c r="R4" s="4"/>
      <c r="S4" s="6"/>
      <c r="U4">
        <v>-0.15204542857142855</v>
      </c>
    </row>
    <row r="5" spans="1:23" x14ac:dyDescent="0.35">
      <c r="A5">
        <v>2</v>
      </c>
      <c r="B5">
        <v>56</v>
      </c>
      <c r="D5" s="4">
        <v>35000</v>
      </c>
      <c r="E5" s="4">
        <v>0</v>
      </c>
      <c r="F5" s="4">
        <v>0</v>
      </c>
      <c r="G5" s="4">
        <v>0</v>
      </c>
      <c r="H5">
        <f>-6515*(1.1)</f>
        <v>-7166.5000000000009</v>
      </c>
      <c r="I5" s="4">
        <f t="shared" ref="I5:I68" si="0">-(D5+P4)*$I$2</f>
        <v>0</v>
      </c>
      <c r="J5" s="4">
        <f>D5-E5-G4+H5+I5+P4</f>
        <v>57511.91</v>
      </c>
      <c r="K5" s="4">
        <f t="shared" ref="K5:K68" si="1">D5+H5+I5+P4</f>
        <v>57511.91</v>
      </c>
      <c r="L5" s="4">
        <f>(K5-G5+F5)*IF(A5&lt;$Q$2,0,IF($O$2=1,$M$2,1)*$L$2)</f>
        <v>0</v>
      </c>
      <c r="M5" s="4">
        <f>MAX((K5-G4-E5),0)*$M$2</f>
        <v>3450.7146000000002</v>
      </c>
      <c r="N5" s="4">
        <f>IF($O$1="Yes",0,(G4+E5)*$M$2*$L$2)</f>
        <v>0</v>
      </c>
      <c r="O5" s="4">
        <f>(G4+E5)*$M$2</f>
        <v>0</v>
      </c>
      <c r="P5" s="4">
        <f t="shared" ref="P5:P68" si="2">K5+L5+M5+O5+N5</f>
        <v>60962.624600000003</v>
      </c>
      <c r="Q5" s="4">
        <f t="shared" ref="Q5:Q68" si="3">P5-G5</f>
        <v>60962.624600000003</v>
      </c>
      <c r="R5" s="7" t="e">
        <f>(O5-F5)/(G4+E5)</f>
        <v>#DIV/0!</v>
      </c>
      <c r="S5" s="6" t="e">
        <f>(N5+O5-F5)/(G4+E5)</f>
        <v>#DIV/0!</v>
      </c>
      <c r="U5">
        <v>-8.8692353069122376E-2</v>
      </c>
      <c r="W5">
        <f>1.1</f>
        <v>1.1000000000000001</v>
      </c>
    </row>
    <row r="6" spans="1:23" x14ac:dyDescent="0.35">
      <c r="A6">
        <v>3</v>
      </c>
      <c r="B6">
        <v>57</v>
      </c>
      <c r="D6" s="4">
        <v>35000</v>
      </c>
      <c r="E6" s="4">
        <v>0</v>
      </c>
      <c r="F6" s="4">
        <v>0</v>
      </c>
      <c r="G6" s="4">
        <v>0</v>
      </c>
      <c r="H6">
        <f>-6684*(1.1)</f>
        <v>-7352.4000000000005</v>
      </c>
      <c r="I6" s="4">
        <f t="shared" si="0"/>
        <v>0</v>
      </c>
      <c r="J6" s="4">
        <f t="shared" ref="J6:J69" si="4">D6-E6-G5+H6+I6+P5</f>
        <v>88610.224600000001</v>
      </c>
      <c r="K6" s="4">
        <f t="shared" si="1"/>
        <v>88610.224600000001</v>
      </c>
      <c r="L6" s="4">
        <f t="shared" ref="L6:L69" si="5">(K6-G6+F6)*IF(A6&lt;$Q$2,0,IF($O$2=1,$M$2,1)*$L$2)</f>
        <v>0</v>
      </c>
      <c r="M6" s="4">
        <f t="shared" ref="M6:M69" si="6">MAX((K6-G5-E6),0)*$M$2</f>
        <v>5316.6134759999995</v>
      </c>
      <c r="N6" s="4">
        <f t="shared" ref="N6:N69" si="7">IF($O$1="Yes",0,(G5+E6)*$M$2*$L$2)</f>
        <v>0</v>
      </c>
      <c r="O6" s="4">
        <f t="shared" ref="O6:O69" si="8">(G5+E6)*$M$2</f>
        <v>0</v>
      </c>
      <c r="P6" s="4">
        <f t="shared" si="2"/>
        <v>93926.838076</v>
      </c>
      <c r="Q6" s="4">
        <f t="shared" si="3"/>
        <v>93926.838076</v>
      </c>
      <c r="R6" s="7" t="e">
        <f t="shared" ref="R6:R69" si="9">(O6-F6)/(G5+E6)</f>
        <v>#DIV/0!</v>
      </c>
      <c r="S6" s="6" t="e">
        <f t="shared" ref="S6:S69" si="10">(N6+O6-F6)/(G5+E6)</f>
        <v>#DIV/0!</v>
      </c>
      <c r="U6" s="6">
        <v>-5.4696544302422878E-2</v>
      </c>
    </row>
    <row r="7" spans="1:23" x14ac:dyDescent="0.35">
      <c r="A7">
        <v>4</v>
      </c>
      <c r="B7">
        <v>58</v>
      </c>
      <c r="D7" s="4">
        <v>35000</v>
      </c>
      <c r="E7" s="4">
        <v>0</v>
      </c>
      <c r="F7" s="4">
        <v>0</v>
      </c>
      <c r="G7" s="4">
        <v>0</v>
      </c>
      <c r="H7">
        <f>-6870*(1.1)</f>
        <v>-7557.0000000000009</v>
      </c>
      <c r="I7" s="4">
        <f t="shared" si="0"/>
        <v>0</v>
      </c>
      <c r="J7" s="4">
        <f t="shared" si="4"/>
        <v>121369.838076</v>
      </c>
      <c r="K7" s="4">
        <f t="shared" si="1"/>
        <v>121369.838076</v>
      </c>
      <c r="L7" s="4">
        <f t="shared" si="5"/>
        <v>0</v>
      </c>
      <c r="M7" s="4">
        <f t="shared" si="6"/>
        <v>7282.1902845599998</v>
      </c>
      <c r="N7" s="4">
        <f t="shared" si="7"/>
        <v>0</v>
      </c>
      <c r="O7" s="4">
        <f t="shared" si="8"/>
        <v>0</v>
      </c>
      <c r="P7" s="4">
        <f t="shared" si="2"/>
        <v>128652.02836056</v>
      </c>
      <c r="Q7" s="4">
        <f t="shared" si="3"/>
        <v>128652.02836056</v>
      </c>
      <c r="R7" s="7" t="e">
        <f t="shared" si="9"/>
        <v>#DIV/0!</v>
      </c>
      <c r="S7" s="6" t="e">
        <f t="shared" si="10"/>
        <v>#DIV/0!</v>
      </c>
      <c r="U7" s="6">
        <v>-3.3528197181420971E-2</v>
      </c>
    </row>
    <row r="8" spans="1:23" x14ac:dyDescent="0.35">
      <c r="A8">
        <v>5</v>
      </c>
      <c r="B8">
        <v>59</v>
      </c>
      <c r="D8" s="4">
        <v>35000</v>
      </c>
      <c r="E8" s="4">
        <v>0</v>
      </c>
      <c r="F8" s="4">
        <v>0</v>
      </c>
      <c r="G8" s="4">
        <v>0</v>
      </c>
      <c r="H8">
        <f>-7081*(1.1)</f>
        <v>-7789.1</v>
      </c>
      <c r="I8" s="4">
        <f t="shared" si="0"/>
        <v>0</v>
      </c>
      <c r="J8" s="4">
        <f t="shared" si="4"/>
        <v>155862.92836056001</v>
      </c>
      <c r="K8" s="4">
        <f t="shared" si="1"/>
        <v>155862.92836056001</v>
      </c>
      <c r="L8" s="4">
        <f t="shared" si="5"/>
        <v>0</v>
      </c>
      <c r="M8" s="4">
        <f t="shared" si="6"/>
        <v>9351.7757016336</v>
      </c>
      <c r="N8" s="4">
        <f t="shared" si="7"/>
        <v>0</v>
      </c>
      <c r="O8" s="4">
        <f t="shared" si="8"/>
        <v>0</v>
      </c>
      <c r="P8" s="4">
        <f t="shared" si="2"/>
        <v>165214.7040621936</v>
      </c>
      <c r="Q8" s="4">
        <f t="shared" si="3"/>
        <v>165214.7040621936</v>
      </c>
      <c r="R8" s="7" t="e">
        <f t="shared" si="9"/>
        <v>#DIV/0!</v>
      </c>
      <c r="S8" s="6" t="e">
        <f t="shared" si="10"/>
        <v>#DIV/0!</v>
      </c>
      <c r="U8" s="6">
        <v>-1.9119110509950743E-2</v>
      </c>
    </row>
    <row r="9" spans="1:23" x14ac:dyDescent="0.35">
      <c r="A9">
        <v>6</v>
      </c>
      <c r="B9">
        <v>60</v>
      </c>
      <c r="D9" s="4">
        <v>35000</v>
      </c>
      <c r="E9" s="4">
        <v>0</v>
      </c>
      <c r="F9" s="4">
        <v>0</v>
      </c>
      <c r="G9" s="4">
        <v>0</v>
      </c>
      <c r="H9">
        <f>-7321*(1.1)</f>
        <v>-8053.1</v>
      </c>
      <c r="I9" s="4">
        <f t="shared" si="0"/>
        <v>0</v>
      </c>
      <c r="J9" s="4">
        <f t="shared" si="4"/>
        <v>192161.6040621936</v>
      </c>
      <c r="K9" s="4">
        <f t="shared" si="1"/>
        <v>192161.6040621936</v>
      </c>
      <c r="L9" s="4">
        <f t="shared" si="5"/>
        <v>0</v>
      </c>
      <c r="M9" s="4">
        <f t="shared" si="6"/>
        <v>11529.696243731616</v>
      </c>
      <c r="N9" s="4">
        <f t="shared" si="7"/>
        <v>0</v>
      </c>
      <c r="O9" s="4">
        <f t="shared" si="8"/>
        <v>0</v>
      </c>
      <c r="P9" s="4">
        <f t="shared" si="2"/>
        <v>203691.30030592522</v>
      </c>
      <c r="Q9" s="4">
        <f t="shared" si="3"/>
        <v>203691.30030592522</v>
      </c>
      <c r="R9" s="7" t="e">
        <f t="shared" si="9"/>
        <v>#DIV/0!</v>
      </c>
      <c r="S9" s="6" t="e">
        <f t="shared" si="10"/>
        <v>#DIV/0!</v>
      </c>
      <c r="U9" s="6">
        <v>-8.7085684905129357E-3</v>
      </c>
    </row>
    <row r="10" spans="1:23" x14ac:dyDescent="0.35">
      <c r="A10">
        <v>7</v>
      </c>
      <c r="B10">
        <v>61</v>
      </c>
      <c r="D10" s="4">
        <v>35000</v>
      </c>
      <c r="E10" s="4">
        <v>0</v>
      </c>
      <c r="F10" s="4">
        <v>0</v>
      </c>
      <c r="G10" s="4">
        <v>0</v>
      </c>
      <c r="H10">
        <f>-7598*(1.1)</f>
        <v>-8357.8000000000011</v>
      </c>
      <c r="I10" s="4">
        <f t="shared" si="0"/>
        <v>0</v>
      </c>
      <c r="J10" s="4">
        <f t="shared" si="4"/>
        <v>230333.5003059252</v>
      </c>
      <c r="K10" s="4">
        <f t="shared" si="1"/>
        <v>230333.5003059252</v>
      </c>
      <c r="L10" s="4">
        <f t="shared" si="5"/>
        <v>0</v>
      </c>
      <c r="M10" s="4">
        <f t="shared" si="6"/>
        <v>13820.010018355511</v>
      </c>
      <c r="N10" s="4">
        <f t="shared" si="7"/>
        <v>0</v>
      </c>
      <c r="O10" s="4">
        <f t="shared" si="8"/>
        <v>0</v>
      </c>
      <c r="P10" s="4">
        <f t="shared" si="2"/>
        <v>244153.51032428071</v>
      </c>
      <c r="Q10" s="4">
        <f t="shared" si="3"/>
        <v>244153.51032428071</v>
      </c>
      <c r="R10" s="7" t="e">
        <f t="shared" si="9"/>
        <v>#DIV/0!</v>
      </c>
      <c r="S10" s="6" t="e">
        <f t="shared" si="10"/>
        <v>#DIV/0!</v>
      </c>
      <c r="U10" s="6">
        <v>-8.652607338957008E-4</v>
      </c>
    </row>
    <row r="11" spans="1:23" x14ac:dyDescent="0.35">
      <c r="A11">
        <v>8</v>
      </c>
      <c r="B11">
        <v>62</v>
      </c>
      <c r="D11" s="4">
        <v>35000</v>
      </c>
      <c r="E11" s="4">
        <v>0</v>
      </c>
      <c r="F11" s="4">
        <v>0</v>
      </c>
      <c r="G11" s="4">
        <v>0</v>
      </c>
      <c r="H11">
        <f>-7918*(1.1)</f>
        <v>-8709.8000000000011</v>
      </c>
      <c r="I11" s="4">
        <f t="shared" si="0"/>
        <v>0</v>
      </c>
      <c r="J11" s="4">
        <f t="shared" si="4"/>
        <v>270443.71032428072</v>
      </c>
      <c r="K11" s="4">
        <f t="shared" si="1"/>
        <v>270443.71032428072</v>
      </c>
      <c r="L11" s="4">
        <f t="shared" si="5"/>
        <v>0</v>
      </c>
      <c r="M11" s="4">
        <f t="shared" si="6"/>
        <v>16226.622619456843</v>
      </c>
      <c r="N11" s="4">
        <f t="shared" si="7"/>
        <v>0</v>
      </c>
      <c r="O11" s="4">
        <f t="shared" si="8"/>
        <v>0</v>
      </c>
      <c r="P11" s="4">
        <f t="shared" si="2"/>
        <v>286670.33294373757</v>
      </c>
      <c r="Q11" s="4">
        <f t="shared" si="3"/>
        <v>286670.33294373757</v>
      </c>
      <c r="R11" s="7" t="e">
        <f t="shared" si="9"/>
        <v>#DIV/0!</v>
      </c>
      <c r="S11" s="6" t="e">
        <f t="shared" si="10"/>
        <v>#DIV/0!</v>
      </c>
      <c r="U11" s="6">
        <v>5.2295981672185743E-3</v>
      </c>
    </row>
    <row r="12" spans="1:23" x14ac:dyDescent="0.35">
      <c r="A12">
        <v>9</v>
      </c>
      <c r="B12">
        <v>63</v>
      </c>
      <c r="D12" s="4">
        <v>35000</v>
      </c>
      <c r="E12" s="4">
        <v>0</v>
      </c>
      <c r="F12" s="4">
        <v>0</v>
      </c>
      <c r="G12" s="4">
        <v>0</v>
      </c>
      <c r="H12">
        <f>-8273*(1.1)</f>
        <v>-9100.3000000000011</v>
      </c>
      <c r="I12" s="4">
        <f t="shared" si="0"/>
        <v>0</v>
      </c>
      <c r="J12" s="4">
        <f t="shared" si="4"/>
        <v>312570.03294373758</v>
      </c>
      <c r="K12" s="4">
        <f t="shared" si="1"/>
        <v>312570.03294373758</v>
      </c>
      <c r="L12" s="4">
        <f t="shared" si="5"/>
        <v>0</v>
      </c>
      <c r="M12" s="4">
        <f t="shared" si="6"/>
        <v>18754.201976624256</v>
      </c>
      <c r="N12" s="4">
        <f t="shared" si="7"/>
        <v>0</v>
      </c>
      <c r="O12" s="4">
        <f t="shared" si="8"/>
        <v>0</v>
      </c>
      <c r="P12" s="4">
        <f t="shared" si="2"/>
        <v>331324.23492036184</v>
      </c>
      <c r="Q12" s="4">
        <f t="shared" si="3"/>
        <v>331324.23492036184</v>
      </c>
      <c r="R12" s="7" t="e">
        <f t="shared" si="9"/>
        <v>#DIV/0!</v>
      </c>
      <c r="S12" s="6" t="e">
        <f t="shared" si="10"/>
        <v>#DIV/0!</v>
      </c>
      <c r="U12" s="6">
        <v>1.0088344462743537E-2</v>
      </c>
    </row>
    <row r="13" spans="1:23" x14ac:dyDescent="0.35">
      <c r="A13">
        <v>10</v>
      </c>
      <c r="B13">
        <v>64</v>
      </c>
      <c r="D13" s="4">
        <v>35000</v>
      </c>
      <c r="E13" s="4">
        <v>0</v>
      </c>
      <c r="F13" s="4">
        <v>0</v>
      </c>
      <c r="G13" s="4">
        <v>0</v>
      </c>
      <c r="H13">
        <f>-8683*(1.1)</f>
        <v>-9551.3000000000011</v>
      </c>
      <c r="I13" s="4">
        <f t="shared" si="0"/>
        <v>0</v>
      </c>
      <c r="J13" s="4">
        <f t="shared" si="4"/>
        <v>356772.93492036185</v>
      </c>
      <c r="K13" s="4">
        <f t="shared" si="1"/>
        <v>356772.93492036185</v>
      </c>
      <c r="L13" s="4">
        <f t="shared" si="5"/>
        <v>0</v>
      </c>
      <c r="M13" s="4">
        <f t="shared" si="6"/>
        <v>21406.376095221709</v>
      </c>
      <c r="N13" s="4">
        <f t="shared" si="7"/>
        <v>0</v>
      </c>
      <c r="O13" s="4">
        <f t="shared" si="8"/>
        <v>0</v>
      </c>
      <c r="P13" s="4">
        <f t="shared" si="2"/>
        <v>378179.31101558357</v>
      </c>
      <c r="Q13" s="4">
        <f t="shared" si="3"/>
        <v>378179.31101558357</v>
      </c>
      <c r="R13" s="7" t="e">
        <f t="shared" si="9"/>
        <v>#DIV/0!</v>
      </c>
      <c r="S13" s="6" t="e">
        <f t="shared" si="10"/>
        <v>#DIV/0!</v>
      </c>
      <c r="U13" s="6">
        <v>1.4031084983762154E-2</v>
      </c>
    </row>
    <row r="14" spans="1:23" x14ac:dyDescent="0.35">
      <c r="A14">
        <v>11</v>
      </c>
      <c r="B14">
        <v>65</v>
      </c>
      <c r="D14" s="4">
        <v>35000</v>
      </c>
      <c r="E14" s="4">
        <v>0</v>
      </c>
      <c r="F14" s="4">
        <v>0</v>
      </c>
      <c r="G14" s="4">
        <v>0</v>
      </c>
      <c r="H14">
        <f>-6270*(1.1)</f>
        <v>-6897.0000000000009</v>
      </c>
      <c r="I14" s="4">
        <f t="shared" si="0"/>
        <v>0</v>
      </c>
      <c r="J14" s="4">
        <f t="shared" si="4"/>
        <v>406282.31101558357</v>
      </c>
      <c r="K14" s="4">
        <f t="shared" si="1"/>
        <v>406282.31101558357</v>
      </c>
      <c r="L14" s="4">
        <f t="shared" si="5"/>
        <v>0</v>
      </c>
      <c r="M14" s="4">
        <f t="shared" si="6"/>
        <v>24376.938660935015</v>
      </c>
      <c r="N14" s="4">
        <f t="shared" si="7"/>
        <v>0</v>
      </c>
      <c r="O14" s="4">
        <f t="shared" si="8"/>
        <v>0</v>
      </c>
      <c r="P14" s="4">
        <f t="shared" si="2"/>
        <v>430659.24967651861</v>
      </c>
      <c r="Q14" s="4">
        <f t="shared" si="3"/>
        <v>430659.24967651861</v>
      </c>
      <c r="R14" s="7" t="e">
        <f t="shared" si="9"/>
        <v>#DIV/0!</v>
      </c>
      <c r="S14" s="6" t="e">
        <f t="shared" si="10"/>
        <v>#DIV/0!</v>
      </c>
      <c r="U14" s="6">
        <v>1.8567295840457465E-2</v>
      </c>
    </row>
    <row r="15" spans="1:23" x14ac:dyDescent="0.35">
      <c r="A15">
        <v>12</v>
      </c>
      <c r="B15">
        <v>66</v>
      </c>
      <c r="D15" s="4">
        <v>35000</v>
      </c>
      <c r="E15" s="4">
        <v>0</v>
      </c>
      <c r="F15" s="4">
        <v>0</v>
      </c>
      <c r="G15" s="4">
        <v>0</v>
      </c>
      <c r="H15">
        <f>-6686*(1.1)</f>
        <v>-7354.6</v>
      </c>
      <c r="I15" s="4">
        <f t="shared" si="0"/>
        <v>0</v>
      </c>
      <c r="J15" s="4">
        <f t="shared" si="4"/>
        <v>458304.64967651863</v>
      </c>
      <c r="K15" s="4">
        <f t="shared" si="1"/>
        <v>458304.64967651863</v>
      </c>
      <c r="L15" s="4">
        <f t="shared" si="5"/>
        <v>0</v>
      </c>
      <c r="M15" s="4">
        <f t="shared" si="6"/>
        <v>27498.278980591116</v>
      </c>
      <c r="N15" s="4">
        <f t="shared" si="7"/>
        <v>0</v>
      </c>
      <c r="O15" s="4">
        <f t="shared" si="8"/>
        <v>0</v>
      </c>
      <c r="P15" s="4">
        <f t="shared" si="2"/>
        <v>485802.92865710973</v>
      </c>
      <c r="Q15" s="4">
        <f t="shared" si="3"/>
        <v>485802.92865710973</v>
      </c>
      <c r="R15" s="7" t="e">
        <f t="shared" si="9"/>
        <v>#DIV/0!</v>
      </c>
      <c r="S15" s="6" t="e">
        <f t="shared" si="10"/>
        <v>#DIV/0!</v>
      </c>
      <c r="U15" s="6">
        <v>2.2193318119962946E-2</v>
      </c>
    </row>
    <row r="16" spans="1:23" x14ac:dyDescent="0.35">
      <c r="A16">
        <v>13</v>
      </c>
      <c r="B16">
        <v>67</v>
      </c>
      <c r="D16" s="4">
        <v>35000</v>
      </c>
      <c r="E16" s="4">
        <v>0</v>
      </c>
      <c r="F16" s="4">
        <v>0</v>
      </c>
      <c r="G16" s="4">
        <v>0</v>
      </c>
      <c r="H16">
        <f>-7151*(1.1)</f>
        <v>-7866.1</v>
      </c>
      <c r="I16" s="4">
        <f t="shared" si="0"/>
        <v>0</v>
      </c>
      <c r="J16" s="4">
        <f t="shared" si="4"/>
        <v>512936.82865710976</v>
      </c>
      <c r="K16" s="4">
        <f t="shared" si="1"/>
        <v>512936.82865710976</v>
      </c>
      <c r="L16" s="4">
        <f t="shared" si="5"/>
        <v>0</v>
      </c>
      <c r="M16" s="4">
        <f t="shared" si="6"/>
        <v>30776.209719426584</v>
      </c>
      <c r="N16" s="4">
        <f t="shared" si="7"/>
        <v>0</v>
      </c>
      <c r="O16" s="4">
        <f t="shared" si="8"/>
        <v>0</v>
      </c>
      <c r="P16" s="4">
        <f t="shared" si="2"/>
        <v>543713.03837653634</v>
      </c>
      <c r="Q16" s="4">
        <f t="shared" si="3"/>
        <v>543713.03837653634</v>
      </c>
      <c r="R16" s="7" t="e">
        <f t="shared" si="9"/>
        <v>#DIV/0!</v>
      </c>
      <c r="S16" s="6" t="e">
        <f t="shared" si="10"/>
        <v>#DIV/0!</v>
      </c>
      <c r="U16" s="6">
        <v>2.5141145249849339E-2</v>
      </c>
    </row>
    <row r="17" spans="1:21" x14ac:dyDescent="0.35">
      <c r="A17">
        <v>14</v>
      </c>
      <c r="B17">
        <v>68</v>
      </c>
      <c r="D17" s="4">
        <v>35000</v>
      </c>
      <c r="E17" s="4">
        <v>0</v>
      </c>
      <c r="F17" s="4">
        <v>0</v>
      </c>
      <c r="G17" s="4">
        <v>0</v>
      </c>
      <c r="H17">
        <f>-7671*(1.1)</f>
        <v>-8438.1</v>
      </c>
      <c r="I17" s="4">
        <f t="shared" si="0"/>
        <v>0</v>
      </c>
      <c r="J17" s="4">
        <f t="shared" si="4"/>
        <v>570274.93837653636</v>
      </c>
      <c r="K17" s="4">
        <f t="shared" si="1"/>
        <v>570274.93837653636</v>
      </c>
      <c r="L17" s="4">
        <f t="shared" si="5"/>
        <v>0</v>
      </c>
      <c r="M17" s="4">
        <f t="shared" si="6"/>
        <v>34216.496302592182</v>
      </c>
      <c r="N17" s="4">
        <f t="shared" si="7"/>
        <v>0</v>
      </c>
      <c r="O17" s="4">
        <f t="shared" si="8"/>
        <v>0</v>
      </c>
      <c r="P17" s="4">
        <f t="shared" si="2"/>
        <v>604491.43467912858</v>
      </c>
      <c r="Q17" s="4">
        <f t="shared" si="3"/>
        <v>604491.43467912858</v>
      </c>
      <c r="R17" s="7" t="e">
        <f t="shared" si="9"/>
        <v>#DIV/0!</v>
      </c>
      <c r="S17" s="6" t="e">
        <f t="shared" si="10"/>
        <v>#DIV/0!</v>
      </c>
      <c r="U17" s="6">
        <v>2.7570475111114545E-2</v>
      </c>
    </row>
    <row r="18" spans="1:21" x14ac:dyDescent="0.35">
      <c r="A18">
        <v>15</v>
      </c>
      <c r="B18">
        <v>69</v>
      </c>
      <c r="D18" s="4">
        <v>35000</v>
      </c>
      <c r="E18" s="4">
        <v>0</v>
      </c>
      <c r="F18" s="4">
        <v>0</v>
      </c>
      <c r="G18" s="4">
        <v>0</v>
      </c>
      <c r="H18">
        <f>-8251*(1.1)</f>
        <v>-9076.1</v>
      </c>
      <c r="I18" s="4">
        <f t="shared" si="0"/>
        <v>0</v>
      </c>
      <c r="J18" s="4">
        <f t="shared" si="4"/>
        <v>630415.3346791286</v>
      </c>
      <c r="K18" s="4">
        <f t="shared" si="1"/>
        <v>630415.3346791286</v>
      </c>
      <c r="L18" s="4">
        <f t="shared" si="5"/>
        <v>0</v>
      </c>
      <c r="M18" s="4">
        <f t="shared" si="6"/>
        <v>37824.920080747717</v>
      </c>
      <c r="N18" s="4">
        <f t="shared" si="7"/>
        <v>0</v>
      </c>
      <c r="O18" s="4">
        <f t="shared" si="8"/>
        <v>0</v>
      </c>
      <c r="P18" s="4">
        <f t="shared" si="2"/>
        <v>668240.25475987629</v>
      </c>
      <c r="Q18" s="4">
        <f t="shared" si="3"/>
        <v>668240.25475987629</v>
      </c>
      <c r="R18" s="7" t="e">
        <f t="shared" si="9"/>
        <v>#DIV/0!</v>
      </c>
      <c r="S18" s="6" t="e">
        <f t="shared" si="10"/>
        <v>#DIV/0!</v>
      </c>
      <c r="U18" s="6">
        <v>2.9594858987681105E-2</v>
      </c>
    </row>
    <row r="19" spans="1:21" x14ac:dyDescent="0.35">
      <c r="A19">
        <v>16</v>
      </c>
      <c r="B19">
        <v>70</v>
      </c>
      <c r="D19" s="4">
        <v>0</v>
      </c>
      <c r="E19" s="4">
        <v>57564</v>
      </c>
      <c r="F19" s="4">
        <f>(G18+E19)*$F$2</f>
        <v>2878.2000000000003</v>
      </c>
      <c r="G19" s="4">
        <f>E19+F19</f>
        <v>60442.2</v>
      </c>
      <c r="H19">
        <f>-1496*(1.1)</f>
        <v>-1645.6000000000001</v>
      </c>
      <c r="I19" s="4">
        <f t="shared" si="0"/>
        <v>0</v>
      </c>
      <c r="J19" s="4">
        <f t="shared" si="4"/>
        <v>609030.65475987631</v>
      </c>
      <c r="K19" s="4">
        <f t="shared" si="1"/>
        <v>666594.65475987631</v>
      </c>
      <c r="L19" s="4">
        <f t="shared" si="5"/>
        <v>0</v>
      </c>
      <c r="M19" s="4">
        <f t="shared" si="6"/>
        <v>36541.839285592578</v>
      </c>
      <c r="N19" s="4">
        <f t="shared" si="7"/>
        <v>0</v>
      </c>
      <c r="O19" s="4">
        <f t="shared" si="8"/>
        <v>3453.8399999999997</v>
      </c>
      <c r="P19" s="4">
        <f t="shared" si="2"/>
        <v>706590.33404546883</v>
      </c>
      <c r="Q19" s="4">
        <f t="shared" si="3"/>
        <v>646148.13404546888</v>
      </c>
      <c r="R19" s="8">
        <f t="shared" si="9"/>
        <v>9.9999999999999898E-3</v>
      </c>
      <c r="S19" s="6">
        <f t="shared" si="10"/>
        <v>9.9999999999999898E-3</v>
      </c>
      <c r="U19" s="6">
        <v>3.2309974707951827E-2</v>
      </c>
    </row>
    <row r="20" spans="1:21" x14ac:dyDescent="0.35">
      <c r="A20">
        <v>17</v>
      </c>
      <c r="B20">
        <v>71</v>
      </c>
      <c r="D20" s="4">
        <v>0</v>
      </c>
      <c r="E20" s="4">
        <f>E19</f>
        <v>57564</v>
      </c>
      <c r="F20" s="4">
        <f>(G19+E20)*$F$2</f>
        <v>5900.31</v>
      </c>
      <c r="G20" s="4">
        <f>E20+F20+G19</f>
        <v>123906.51</v>
      </c>
      <c r="H20">
        <f>-1524*(1.1)</f>
        <v>-1676.4</v>
      </c>
      <c r="I20" s="4">
        <f t="shared" si="0"/>
        <v>0</v>
      </c>
      <c r="J20" s="4">
        <f t="shared" si="4"/>
        <v>586907.73404546885</v>
      </c>
      <c r="K20" s="4">
        <f t="shared" si="1"/>
        <v>704913.93404546881</v>
      </c>
      <c r="L20" s="4">
        <f t="shared" si="5"/>
        <v>0</v>
      </c>
      <c r="M20" s="4">
        <f t="shared" si="6"/>
        <v>35214.464042728127</v>
      </c>
      <c r="N20" s="4">
        <f t="shared" si="7"/>
        <v>0</v>
      </c>
      <c r="O20" s="4">
        <f t="shared" si="8"/>
        <v>7080.3719999999994</v>
      </c>
      <c r="P20" s="4">
        <f t="shared" si="2"/>
        <v>747208.77008819696</v>
      </c>
      <c r="Q20" s="4">
        <f t="shared" si="3"/>
        <v>623302.26008819696</v>
      </c>
      <c r="R20" s="8">
        <f t="shared" si="9"/>
        <v>9.9999999999999915E-3</v>
      </c>
      <c r="S20" s="6">
        <f t="shared" si="10"/>
        <v>9.9999999999999915E-3</v>
      </c>
      <c r="U20" s="6">
        <v>3.4833912209133455E-2</v>
      </c>
    </row>
    <row r="21" spans="1:21" x14ac:dyDescent="0.35">
      <c r="A21">
        <v>18</v>
      </c>
      <c r="B21">
        <v>72</v>
      </c>
      <c r="D21" s="4">
        <v>0</v>
      </c>
      <c r="E21" s="4">
        <f t="shared" ref="E21:E38" si="11">E20</f>
        <v>57564</v>
      </c>
      <c r="F21" s="4">
        <f t="shared" ref="F21:F69" si="12">(G20+E21)*$F$2</f>
        <v>9073.5255000000016</v>
      </c>
      <c r="G21" s="4">
        <f t="shared" ref="G21:G69" si="13">E21+F21+G20</f>
        <v>190544.0355</v>
      </c>
      <c r="H21">
        <f>-1516*(1.1)</f>
        <v>-1667.6000000000001</v>
      </c>
      <c r="I21" s="4">
        <f t="shared" si="0"/>
        <v>0</v>
      </c>
      <c r="J21" s="4">
        <f t="shared" si="4"/>
        <v>564070.66008819698</v>
      </c>
      <c r="K21" s="4">
        <f t="shared" si="1"/>
        <v>745541.17008819699</v>
      </c>
      <c r="L21" s="4">
        <f t="shared" si="5"/>
        <v>0</v>
      </c>
      <c r="M21" s="4">
        <f t="shared" si="6"/>
        <v>33844.239605291819</v>
      </c>
      <c r="N21" s="4">
        <f t="shared" si="7"/>
        <v>0</v>
      </c>
      <c r="O21" s="4">
        <f t="shared" si="8"/>
        <v>10888.230600000001</v>
      </c>
      <c r="P21" s="4">
        <f t="shared" si="2"/>
        <v>790273.64029348886</v>
      </c>
      <c r="Q21" s="4">
        <f t="shared" si="3"/>
        <v>599729.60479348886</v>
      </c>
      <c r="R21" s="8">
        <f t="shared" si="9"/>
        <v>9.999999999999995E-3</v>
      </c>
      <c r="S21" s="6">
        <f t="shared" si="10"/>
        <v>9.999999999999995E-3</v>
      </c>
      <c r="U21" s="6">
        <v>3.7247201094977589E-2</v>
      </c>
    </row>
    <row r="22" spans="1:21" x14ac:dyDescent="0.35">
      <c r="A22">
        <v>19</v>
      </c>
      <c r="B22">
        <v>73</v>
      </c>
      <c r="D22" s="4">
        <v>0</v>
      </c>
      <c r="E22" s="4">
        <f t="shared" si="11"/>
        <v>57564</v>
      </c>
      <c r="F22" s="4">
        <f t="shared" si="12"/>
        <v>12405.401775</v>
      </c>
      <c r="G22" s="4">
        <f t="shared" si="13"/>
        <v>260513.437275</v>
      </c>
      <c r="H22">
        <f>-1460*(1.1)</f>
        <v>-1606.0000000000002</v>
      </c>
      <c r="I22" s="4">
        <f t="shared" si="0"/>
        <v>0</v>
      </c>
      <c r="J22" s="4">
        <f t="shared" si="4"/>
        <v>540559.60479348886</v>
      </c>
      <c r="K22" s="4">
        <f t="shared" si="1"/>
        <v>788667.64029348886</v>
      </c>
      <c r="L22" s="4">
        <f t="shared" si="5"/>
        <v>0</v>
      </c>
      <c r="M22" s="4">
        <f t="shared" si="6"/>
        <v>32433.576287609332</v>
      </c>
      <c r="N22" s="4">
        <f t="shared" si="7"/>
        <v>0</v>
      </c>
      <c r="O22" s="4">
        <f t="shared" si="8"/>
        <v>14886.482129999999</v>
      </c>
      <c r="P22" s="4">
        <f t="shared" si="2"/>
        <v>835987.69871109817</v>
      </c>
      <c r="Q22" s="4">
        <f t="shared" si="3"/>
        <v>575474.26143609814</v>
      </c>
      <c r="R22" s="8">
        <f t="shared" si="9"/>
        <v>9.9999999999999933E-3</v>
      </c>
      <c r="S22" s="6">
        <f t="shared" si="10"/>
        <v>9.9999999999999933E-3</v>
      </c>
      <c r="U22" s="6">
        <v>3.9599170846104093E-2</v>
      </c>
    </row>
    <row r="23" spans="1:21" x14ac:dyDescent="0.35">
      <c r="A23">
        <v>20</v>
      </c>
      <c r="B23">
        <v>74</v>
      </c>
      <c r="D23" s="4">
        <v>0</v>
      </c>
      <c r="E23" s="4">
        <f t="shared" si="11"/>
        <v>57564</v>
      </c>
      <c r="F23" s="4">
        <f t="shared" si="12"/>
        <v>15903.871863750002</v>
      </c>
      <c r="G23" s="4">
        <f t="shared" si="13"/>
        <v>333981.30913875002</v>
      </c>
      <c r="H23">
        <f>-1338*(1.1)</f>
        <v>-1471.8000000000002</v>
      </c>
      <c r="I23" s="4">
        <f t="shared" si="0"/>
        <v>0</v>
      </c>
      <c r="J23" s="4">
        <f t="shared" si="4"/>
        <v>516438.46143609815</v>
      </c>
      <c r="K23" s="4">
        <f t="shared" si="1"/>
        <v>834515.89871109813</v>
      </c>
      <c r="L23" s="4">
        <f t="shared" si="5"/>
        <v>0</v>
      </c>
      <c r="M23" s="4">
        <f t="shared" si="6"/>
        <v>30986.307686165885</v>
      </c>
      <c r="N23" s="4">
        <f t="shared" si="7"/>
        <v>0</v>
      </c>
      <c r="O23" s="4">
        <f t="shared" si="8"/>
        <v>19084.646236500001</v>
      </c>
      <c r="P23" s="4">
        <f t="shared" si="2"/>
        <v>884586.85263376404</v>
      </c>
      <c r="Q23" s="4">
        <f t="shared" si="3"/>
        <v>550605.54349501408</v>
      </c>
      <c r="R23" s="8">
        <f t="shared" si="9"/>
        <v>9.9999999999999933E-3</v>
      </c>
      <c r="S23" s="6">
        <f t="shared" si="10"/>
        <v>9.9999999999999933E-3</v>
      </c>
      <c r="U23" s="6">
        <v>4.1921344617396272E-2</v>
      </c>
    </row>
    <row r="24" spans="1:21" x14ac:dyDescent="0.35">
      <c r="A24">
        <v>21</v>
      </c>
      <c r="B24">
        <v>75</v>
      </c>
      <c r="D24" s="4">
        <v>0</v>
      </c>
      <c r="E24" s="4">
        <f t="shared" si="11"/>
        <v>57564</v>
      </c>
      <c r="F24" s="4">
        <f t="shared" si="12"/>
        <v>19577.265456937501</v>
      </c>
      <c r="G24" s="4">
        <f t="shared" si="13"/>
        <v>411122.5745956875</v>
      </c>
      <c r="H24">
        <f>-1125*(1.1)</f>
        <v>-1237.5</v>
      </c>
      <c r="I24" s="4">
        <f t="shared" si="0"/>
        <v>0</v>
      </c>
      <c r="J24" s="4">
        <f t="shared" si="4"/>
        <v>491804.04349501402</v>
      </c>
      <c r="K24" s="4">
        <f t="shared" si="1"/>
        <v>883349.35263376404</v>
      </c>
      <c r="L24" s="4">
        <f t="shared" si="5"/>
        <v>0</v>
      </c>
      <c r="M24" s="4">
        <f t="shared" si="6"/>
        <v>29508.242609700843</v>
      </c>
      <c r="N24" s="4">
        <f t="shared" si="7"/>
        <v>0</v>
      </c>
      <c r="O24" s="4">
        <f t="shared" si="8"/>
        <v>23492.718548325</v>
      </c>
      <c r="P24" s="4">
        <f t="shared" si="2"/>
        <v>936350.31379178993</v>
      </c>
      <c r="Q24" s="4">
        <f t="shared" si="3"/>
        <v>525227.73919610237</v>
      </c>
      <c r="R24" s="8">
        <f t="shared" si="9"/>
        <v>9.9999999999999967E-3</v>
      </c>
      <c r="S24" s="6">
        <f t="shared" si="10"/>
        <v>9.9999999999999967E-3</v>
      </c>
      <c r="U24" s="6">
        <v>4.423435133849507E-2</v>
      </c>
    </row>
    <row r="25" spans="1:21" x14ac:dyDescent="0.35">
      <c r="A25">
        <v>22</v>
      </c>
      <c r="B25">
        <v>76</v>
      </c>
      <c r="D25" s="4">
        <v>0</v>
      </c>
      <c r="E25" s="4">
        <f t="shared" si="11"/>
        <v>57564</v>
      </c>
      <c r="F25" s="4">
        <f t="shared" si="12"/>
        <v>23434.328729784378</v>
      </c>
      <c r="G25" s="4">
        <f t="shared" si="13"/>
        <v>492120.90332547191</v>
      </c>
      <c r="H25">
        <f>-1315*(1.1)</f>
        <v>-1446.5000000000002</v>
      </c>
      <c r="I25" s="4">
        <f t="shared" si="0"/>
        <v>0</v>
      </c>
      <c r="J25" s="4">
        <f t="shared" si="4"/>
        <v>466217.23919610243</v>
      </c>
      <c r="K25" s="4">
        <f t="shared" si="1"/>
        <v>934903.81379178993</v>
      </c>
      <c r="L25" s="4">
        <f t="shared" si="5"/>
        <v>0</v>
      </c>
      <c r="M25" s="4">
        <f t="shared" si="6"/>
        <v>27973.034351766146</v>
      </c>
      <c r="N25" s="4">
        <f t="shared" si="7"/>
        <v>0</v>
      </c>
      <c r="O25" s="4">
        <f t="shared" si="8"/>
        <v>28121.194475741249</v>
      </c>
      <c r="P25" s="4">
        <f t="shared" si="2"/>
        <v>990998.04261929728</v>
      </c>
      <c r="Q25" s="4">
        <f t="shared" si="3"/>
        <v>498877.13929382537</v>
      </c>
      <c r="R25" s="8">
        <f t="shared" si="9"/>
        <v>9.9999999999999915E-3</v>
      </c>
      <c r="S25" s="6">
        <f t="shared" si="10"/>
        <v>9.9999999999999915E-3</v>
      </c>
      <c r="U25" s="6">
        <v>4.6507477527050867E-2</v>
      </c>
    </row>
    <row r="26" spans="1:21" x14ac:dyDescent="0.35">
      <c r="A26">
        <v>23</v>
      </c>
      <c r="B26">
        <v>77</v>
      </c>
      <c r="D26" s="4">
        <v>0</v>
      </c>
      <c r="E26" s="4">
        <f t="shared" si="11"/>
        <v>57564</v>
      </c>
      <c r="F26" s="4">
        <f t="shared" si="12"/>
        <v>27484.245166273598</v>
      </c>
      <c r="G26" s="4">
        <f t="shared" si="13"/>
        <v>577169.14849174547</v>
      </c>
      <c r="H26">
        <f>-1537*(1.1)</f>
        <v>-1690.7</v>
      </c>
      <c r="I26" s="4">
        <f t="shared" si="0"/>
        <v>0</v>
      </c>
      <c r="J26" s="4">
        <f t="shared" si="4"/>
        <v>439622.43929382542</v>
      </c>
      <c r="K26" s="4">
        <f t="shared" si="1"/>
        <v>989307.34261929733</v>
      </c>
      <c r="L26" s="4">
        <f t="shared" si="5"/>
        <v>0</v>
      </c>
      <c r="M26" s="4">
        <f t="shared" si="6"/>
        <v>26377.346357629525</v>
      </c>
      <c r="N26" s="4">
        <f t="shared" si="7"/>
        <v>0</v>
      </c>
      <c r="O26" s="4">
        <f t="shared" si="8"/>
        <v>32981.094199528314</v>
      </c>
      <c r="P26" s="4">
        <f t="shared" si="2"/>
        <v>1048665.7831764552</v>
      </c>
      <c r="Q26" s="4">
        <f t="shared" si="3"/>
        <v>471496.63468470972</v>
      </c>
      <c r="R26" s="8">
        <f t="shared" si="9"/>
        <v>9.9999999999999933E-3</v>
      </c>
      <c r="S26" s="6">
        <f t="shared" si="10"/>
        <v>9.9999999999999933E-3</v>
      </c>
      <c r="U26" s="6">
        <v>4.8746594655902697E-2</v>
      </c>
    </row>
    <row r="27" spans="1:21" x14ac:dyDescent="0.35">
      <c r="A27">
        <v>24</v>
      </c>
      <c r="B27">
        <v>78</v>
      </c>
      <c r="D27" s="4">
        <v>0</v>
      </c>
      <c r="E27" s="4">
        <f t="shared" si="11"/>
        <v>57564</v>
      </c>
      <c r="F27" s="4">
        <f t="shared" si="12"/>
        <v>31736.657424587276</v>
      </c>
      <c r="G27" s="4">
        <f t="shared" si="13"/>
        <v>666469.80591633276</v>
      </c>
      <c r="H27">
        <f>-1797*(1.1)</f>
        <v>-1976.7000000000003</v>
      </c>
      <c r="I27" s="4">
        <f t="shared" si="0"/>
        <v>0</v>
      </c>
      <c r="J27" s="4">
        <f t="shared" si="4"/>
        <v>411955.93468470976</v>
      </c>
      <c r="K27" s="4">
        <f t="shared" si="1"/>
        <v>1046689.0831764552</v>
      </c>
      <c r="L27" s="4">
        <f t="shared" si="5"/>
        <v>0</v>
      </c>
      <c r="M27" s="4">
        <f t="shared" si="6"/>
        <v>24717.356081082584</v>
      </c>
      <c r="N27" s="4">
        <f t="shared" si="7"/>
        <v>0</v>
      </c>
      <c r="O27" s="4">
        <f t="shared" si="8"/>
        <v>38083.988909504726</v>
      </c>
      <c r="P27" s="4">
        <f t="shared" si="2"/>
        <v>1109490.4281670423</v>
      </c>
      <c r="Q27" s="4">
        <f t="shared" si="3"/>
        <v>443020.62225070957</v>
      </c>
      <c r="R27" s="8">
        <f t="shared" si="9"/>
        <v>9.9999999999999915E-3</v>
      </c>
      <c r="S27" s="6">
        <f t="shared" si="10"/>
        <v>9.9999999999999915E-3</v>
      </c>
      <c r="U27" s="6">
        <v>5.0953422067596454E-2</v>
      </c>
    </row>
    <row r="28" spans="1:21" x14ac:dyDescent="0.35">
      <c r="A28">
        <v>25</v>
      </c>
      <c r="B28">
        <v>79</v>
      </c>
      <c r="D28" s="4">
        <v>0</v>
      </c>
      <c r="E28" s="4">
        <f t="shared" si="11"/>
        <v>57564</v>
      </c>
      <c r="F28" s="4">
        <f t="shared" si="12"/>
        <v>36201.690295816639</v>
      </c>
      <c r="G28" s="4">
        <f t="shared" si="13"/>
        <v>760235.49621214939</v>
      </c>
      <c r="H28">
        <f>-2098*(1.1)</f>
        <v>-2307.8000000000002</v>
      </c>
      <c r="I28" s="4">
        <f t="shared" si="0"/>
        <v>0</v>
      </c>
      <c r="J28" s="4">
        <f t="shared" si="4"/>
        <v>383148.82225070952</v>
      </c>
      <c r="K28" s="4">
        <f t="shared" si="1"/>
        <v>1107182.6281670423</v>
      </c>
      <c r="L28" s="4">
        <f t="shared" si="5"/>
        <v>0</v>
      </c>
      <c r="M28" s="4">
        <f t="shared" si="6"/>
        <v>22988.929335042569</v>
      </c>
      <c r="N28" s="4">
        <f t="shared" si="7"/>
        <v>0</v>
      </c>
      <c r="O28" s="4">
        <f t="shared" si="8"/>
        <v>43442.028354979964</v>
      </c>
      <c r="P28" s="4">
        <f t="shared" si="2"/>
        <v>1173613.5858570649</v>
      </c>
      <c r="Q28" s="4">
        <f t="shared" si="3"/>
        <v>413378.08964491554</v>
      </c>
      <c r="R28" s="8">
        <f t="shared" si="9"/>
        <v>9.9999999999999967E-3</v>
      </c>
      <c r="S28" s="6">
        <f t="shared" si="10"/>
        <v>9.9999999999999967E-3</v>
      </c>
      <c r="U28" s="6">
        <v>5.3127007725625175E-2</v>
      </c>
    </row>
    <row r="29" spans="1:21" x14ac:dyDescent="0.35">
      <c r="A29">
        <v>26</v>
      </c>
      <c r="B29">
        <v>80</v>
      </c>
      <c r="D29" s="4">
        <v>0</v>
      </c>
      <c r="E29" s="4">
        <f t="shared" si="11"/>
        <v>57564</v>
      </c>
      <c r="F29" s="4">
        <f t="shared" si="12"/>
        <v>40889.974810607469</v>
      </c>
      <c r="G29" s="4">
        <f t="shared" si="13"/>
        <v>858689.47102275689</v>
      </c>
      <c r="H29">
        <f>-2450*(1.1)</f>
        <v>-2695</v>
      </c>
      <c r="I29" s="4">
        <f t="shared" si="0"/>
        <v>0</v>
      </c>
      <c r="J29" s="4">
        <f t="shared" si="4"/>
        <v>353119.08964491554</v>
      </c>
      <c r="K29" s="4">
        <f t="shared" si="1"/>
        <v>1170918.5858570649</v>
      </c>
      <c r="L29" s="4">
        <f t="shared" si="5"/>
        <v>0</v>
      </c>
      <c r="M29" s="4">
        <f t="shared" si="6"/>
        <v>21187.145378694931</v>
      </c>
      <c r="N29" s="4">
        <f t="shared" si="7"/>
        <v>0</v>
      </c>
      <c r="O29" s="4">
        <f t="shared" si="8"/>
        <v>49067.96977272896</v>
      </c>
      <c r="P29" s="4">
        <f t="shared" si="2"/>
        <v>1241173.7010084887</v>
      </c>
      <c r="Q29" s="4">
        <f t="shared" si="3"/>
        <v>382484.22998573177</v>
      </c>
      <c r="R29" s="8">
        <f t="shared" si="9"/>
        <v>9.9999999999999967E-3</v>
      </c>
      <c r="S29" s="6">
        <f t="shared" si="10"/>
        <v>9.9999999999999967E-3</v>
      </c>
      <c r="U29" s="6">
        <v>5.5264214949393597E-2</v>
      </c>
    </row>
    <row r="30" spans="1:21" x14ac:dyDescent="0.35">
      <c r="A30">
        <v>27</v>
      </c>
      <c r="B30">
        <v>81</v>
      </c>
      <c r="D30" s="4">
        <v>0</v>
      </c>
      <c r="E30" s="4">
        <f t="shared" si="11"/>
        <v>57564</v>
      </c>
      <c r="F30" s="4">
        <f t="shared" si="12"/>
        <v>45812.67355113785</v>
      </c>
      <c r="G30" s="4">
        <f t="shared" si="13"/>
        <v>962066.1445738948</v>
      </c>
      <c r="H30">
        <f>-2899*(1.1)</f>
        <v>-3188.9</v>
      </c>
      <c r="I30" s="4">
        <f t="shared" si="0"/>
        <v>0</v>
      </c>
      <c r="J30" s="4">
        <f t="shared" si="4"/>
        <v>321731.32998573175</v>
      </c>
      <c r="K30" s="4">
        <f t="shared" si="1"/>
        <v>1237984.8010084888</v>
      </c>
      <c r="L30" s="4">
        <f t="shared" si="5"/>
        <v>0</v>
      </c>
      <c r="M30" s="4">
        <f t="shared" si="6"/>
        <v>19303.87979914391</v>
      </c>
      <c r="N30" s="4">
        <f t="shared" si="7"/>
        <v>0</v>
      </c>
      <c r="O30" s="4">
        <f t="shared" si="8"/>
        <v>54975.208261365413</v>
      </c>
      <c r="P30" s="4">
        <f t="shared" si="2"/>
        <v>1312263.8890689979</v>
      </c>
      <c r="Q30" s="4">
        <f t="shared" si="3"/>
        <v>350197.74449510314</v>
      </c>
      <c r="R30" s="8">
        <f t="shared" si="9"/>
        <v>9.9999999999999933E-3</v>
      </c>
      <c r="S30" s="6">
        <f t="shared" si="10"/>
        <v>9.9999999999999933E-3</v>
      </c>
      <c r="U30" s="6">
        <v>5.7358861970806529E-2</v>
      </c>
    </row>
    <row r="31" spans="1:21" x14ac:dyDescent="0.35">
      <c r="A31">
        <v>28</v>
      </c>
      <c r="B31">
        <v>82</v>
      </c>
      <c r="D31" s="4">
        <v>0</v>
      </c>
      <c r="E31" s="4">
        <f t="shared" si="11"/>
        <v>57564</v>
      </c>
      <c r="F31" s="4">
        <f t="shared" si="12"/>
        <v>50981.50722869474</v>
      </c>
      <c r="G31" s="4">
        <f t="shared" si="13"/>
        <v>1070611.6518025897</v>
      </c>
      <c r="H31">
        <f>-3428*(1.1)</f>
        <v>-3770.8</v>
      </c>
      <c r="I31" s="4">
        <f t="shared" si="0"/>
        <v>0</v>
      </c>
      <c r="J31" s="4">
        <f t="shared" si="4"/>
        <v>288862.94449510309</v>
      </c>
      <c r="K31" s="4">
        <f t="shared" si="1"/>
        <v>1308493.0890689979</v>
      </c>
      <c r="L31" s="4">
        <f t="shared" si="5"/>
        <v>0</v>
      </c>
      <c r="M31" s="4">
        <f t="shared" si="6"/>
        <v>17331.776669706185</v>
      </c>
      <c r="N31" s="4">
        <f t="shared" si="7"/>
        <v>0</v>
      </c>
      <c r="O31" s="4">
        <f t="shared" si="8"/>
        <v>61177.808674433683</v>
      </c>
      <c r="P31" s="4">
        <f t="shared" si="2"/>
        <v>1387002.6744131378</v>
      </c>
      <c r="Q31" s="4">
        <f t="shared" si="3"/>
        <v>316391.02261054819</v>
      </c>
      <c r="R31" s="8">
        <f t="shared" si="9"/>
        <v>9.999999999999995E-3</v>
      </c>
      <c r="S31" s="6">
        <f t="shared" si="10"/>
        <v>9.999999999999995E-3</v>
      </c>
      <c r="U31" s="6">
        <v>5.9405866714917988E-2</v>
      </c>
    </row>
    <row r="32" spans="1:21" x14ac:dyDescent="0.35">
      <c r="A32">
        <v>29</v>
      </c>
      <c r="B32">
        <v>83</v>
      </c>
      <c r="D32" s="4">
        <v>0</v>
      </c>
      <c r="E32" s="4">
        <f t="shared" si="11"/>
        <v>57564</v>
      </c>
      <c r="F32" s="4">
        <f t="shared" si="12"/>
        <v>56408.782590129485</v>
      </c>
      <c r="G32" s="4">
        <f t="shared" si="13"/>
        <v>1184584.4343927191</v>
      </c>
      <c r="H32">
        <f>-4047*(1.1)</f>
        <v>-4451.7000000000007</v>
      </c>
      <c r="I32" s="4">
        <f t="shared" si="0"/>
        <v>0</v>
      </c>
      <c r="J32" s="4">
        <f t="shared" si="4"/>
        <v>254375.32261054823</v>
      </c>
      <c r="K32" s="4">
        <f t="shared" si="1"/>
        <v>1382550.9744131379</v>
      </c>
      <c r="L32" s="4">
        <f t="shared" si="5"/>
        <v>0</v>
      </c>
      <c r="M32" s="4">
        <f t="shared" si="6"/>
        <v>15262.519356632893</v>
      </c>
      <c r="N32" s="4">
        <f t="shared" si="7"/>
        <v>0</v>
      </c>
      <c r="O32" s="4">
        <f t="shared" si="8"/>
        <v>67690.539108155383</v>
      </c>
      <c r="P32" s="4">
        <f t="shared" si="2"/>
        <v>1465504.032877926</v>
      </c>
      <c r="Q32" s="4">
        <f t="shared" si="3"/>
        <v>280919.59848520695</v>
      </c>
      <c r="R32" s="8">
        <f t="shared" si="9"/>
        <v>0.01</v>
      </c>
      <c r="S32" s="6">
        <f t="shared" si="10"/>
        <v>0.01</v>
      </c>
      <c r="U32" s="6">
        <v>6.1400028138940854E-2</v>
      </c>
    </row>
    <row r="33" spans="1:21" x14ac:dyDescent="0.35">
      <c r="A33">
        <v>30</v>
      </c>
      <c r="B33">
        <v>84</v>
      </c>
      <c r="D33" s="4">
        <v>0</v>
      </c>
      <c r="E33" s="4">
        <f t="shared" si="11"/>
        <v>57564</v>
      </c>
      <c r="F33" s="4">
        <f t="shared" si="12"/>
        <v>62107.421719635953</v>
      </c>
      <c r="G33" s="4">
        <f t="shared" si="13"/>
        <v>1304255.8561123549</v>
      </c>
      <c r="H33">
        <f>-4775*(1.1)</f>
        <v>-5252.5</v>
      </c>
      <c r="I33" s="4">
        <f t="shared" si="0"/>
        <v>0</v>
      </c>
      <c r="J33" s="4">
        <f t="shared" si="4"/>
        <v>218103.09848520695</v>
      </c>
      <c r="K33" s="4">
        <f t="shared" si="1"/>
        <v>1460251.532877926</v>
      </c>
      <c r="L33" s="4">
        <f t="shared" si="5"/>
        <v>0</v>
      </c>
      <c r="M33" s="4">
        <f t="shared" si="6"/>
        <v>13086.185909112417</v>
      </c>
      <c r="N33" s="4">
        <f t="shared" si="7"/>
        <v>0</v>
      </c>
      <c r="O33" s="4">
        <f t="shared" si="8"/>
        <v>74528.906063563147</v>
      </c>
      <c r="P33" s="4">
        <f t="shared" si="2"/>
        <v>1547866.6248506017</v>
      </c>
      <c r="Q33" s="4">
        <f t="shared" si="3"/>
        <v>243610.76873824676</v>
      </c>
      <c r="R33" s="8">
        <f t="shared" si="9"/>
        <v>1.0000000000000002E-2</v>
      </c>
      <c r="S33" s="6">
        <f t="shared" si="10"/>
        <v>1.0000000000000002E-2</v>
      </c>
      <c r="U33" s="6">
        <v>6.3336094483041228E-2</v>
      </c>
    </row>
    <row r="34" spans="1:21" x14ac:dyDescent="0.35">
      <c r="A34">
        <v>31</v>
      </c>
      <c r="B34">
        <v>85</v>
      </c>
      <c r="D34" s="4">
        <v>0</v>
      </c>
      <c r="E34" s="4">
        <f t="shared" si="11"/>
        <v>57564</v>
      </c>
      <c r="F34" s="4">
        <f t="shared" si="12"/>
        <v>68090.992805617745</v>
      </c>
      <c r="G34" s="4">
        <f t="shared" si="13"/>
        <v>1429910.8489179728</v>
      </c>
      <c r="H34">
        <f>-5687*(1.1)</f>
        <v>-6255.7000000000007</v>
      </c>
      <c r="I34" s="4">
        <f t="shared" si="0"/>
        <v>0</v>
      </c>
      <c r="J34" s="4">
        <f t="shared" si="4"/>
        <v>179791.0687382468</v>
      </c>
      <c r="K34" s="4">
        <f t="shared" si="1"/>
        <v>1541610.9248506017</v>
      </c>
      <c r="L34" s="4">
        <f t="shared" si="5"/>
        <v>0</v>
      </c>
      <c r="M34" s="4">
        <f t="shared" si="6"/>
        <v>10787.464124294807</v>
      </c>
      <c r="N34" s="4">
        <f t="shared" si="7"/>
        <v>0</v>
      </c>
      <c r="O34" s="4">
        <f t="shared" si="8"/>
        <v>81709.191366741288</v>
      </c>
      <c r="P34" s="4">
        <f t="shared" si="2"/>
        <v>1634107.5803416376</v>
      </c>
      <c r="Q34" s="4">
        <f t="shared" si="3"/>
        <v>204196.73142366484</v>
      </c>
      <c r="R34" s="8">
        <f t="shared" si="9"/>
        <v>9.999999999999995E-3</v>
      </c>
      <c r="S34" s="6">
        <f t="shared" si="10"/>
        <v>9.999999999999995E-3</v>
      </c>
      <c r="U34" s="6">
        <v>6.520754242382476E-2</v>
      </c>
    </row>
    <row r="35" spans="1:21" x14ac:dyDescent="0.35">
      <c r="A35">
        <v>32</v>
      </c>
      <c r="B35">
        <v>86</v>
      </c>
      <c r="D35" s="4">
        <v>0</v>
      </c>
      <c r="E35" s="4">
        <f t="shared" si="11"/>
        <v>57564</v>
      </c>
      <c r="F35" s="4">
        <f t="shared" si="12"/>
        <v>74373.742445898635</v>
      </c>
      <c r="G35" s="4">
        <f t="shared" si="13"/>
        <v>1561848.5913638715</v>
      </c>
      <c r="H35">
        <f>-6779*(1.1)</f>
        <v>-7456.9000000000005</v>
      </c>
      <c r="I35" s="4">
        <f t="shared" si="0"/>
        <v>0</v>
      </c>
      <c r="J35" s="4">
        <f t="shared" si="4"/>
        <v>139175.83142366493</v>
      </c>
      <c r="K35" s="4">
        <f t="shared" si="1"/>
        <v>1626650.6803416377</v>
      </c>
      <c r="L35" s="4">
        <f t="shared" si="5"/>
        <v>0</v>
      </c>
      <c r="M35" s="4">
        <f t="shared" si="6"/>
        <v>8350.5498854198959</v>
      </c>
      <c r="N35" s="4">
        <f t="shared" si="7"/>
        <v>0</v>
      </c>
      <c r="O35" s="4">
        <f t="shared" si="8"/>
        <v>89248.490935078356</v>
      </c>
      <c r="P35" s="4">
        <f t="shared" si="2"/>
        <v>1724249.7211621359</v>
      </c>
      <c r="Q35" s="4">
        <f t="shared" si="3"/>
        <v>162401.12979826448</v>
      </c>
      <c r="R35" s="8">
        <f t="shared" si="9"/>
        <v>9.999999999999995E-3</v>
      </c>
      <c r="S35" s="6">
        <f t="shared" si="10"/>
        <v>9.999999999999995E-3</v>
      </c>
      <c r="U35" s="6">
        <v>6.7009770731002227E-2</v>
      </c>
    </row>
    <row r="36" spans="1:21" x14ac:dyDescent="0.35">
      <c r="A36">
        <v>33</v>
      </c>
      <c r="B36">
        <v>87</v>
      </c>
      <c r="D36" s="4">
        <v>0</v>
      </c>
      <c r="E36" s="4">
        <f t="shared" si="11"/>
        <v>57564</v>
      </c>
      <c r="F36" s="4">
        <f t="shared" si="12"/>
        <v>80970.629568193574</v>
      </c>
      <c r="G36" s="4">
        <f t="shared" si="13"/>
        <v>1700383.220932065</v>
      </c>
      <c r="H36">
        <f>-8081*(1.1)</f>
        <v>-8889.1</v>
      </c>
      <c r="I36" s="4">
        <f t="shared" si="0"/>
        <v>0</v>
      </c>
      <c r="J36" s="4">
        <f t="shared" si="4"/>
        <v>95948.029798264382</v>
      </c>
      <c r="K36" s="4">
        <f t="shared" si="1"/>
        <v>1715360.6211621359</v>
      </c>
      <c r="L36" s="4">
        <f t="shared" si="5"/>
        <v>0</v>
      </c>
      <c r="M36" s="4">
        <f t="shared" si="6"/>
        <v>5756.8817878958625</v>
      </c>
      <c r="N36" s="4">
        <f t="shared" si="7"/>
        <v>0</v>
      </c>
      <c r="O36" s="4">
        <f t="shared" si="8"/>
        <v>97164.755481832282</v>
      </c>
      <c r="P36" s="4">
        <f t="shared" si="2"/>
        <v>1818282.258431864</v>
      </c>
      <c r="Q36" s="4">
        <f t="shared" si="3"/>
        <v>117899.03749979893</v>
      </c>
      <c r="R36" s="8">
        <f t="shared" si="9"/>
        <v>9.9999999999999967E-3</v>
      </c>
      <c r="S36" s="6">
        <f t="shared" si="10"/>
        <v>9.9999999999999967E-3</v>
      </c>
      <c r="U36" s="6">
        <v>6.8739026583879426E-2</v>
      </c>
    </row>
    <row r="37" spans="1:21" x14ac:dyDescent="0.35">
      <c r="A37">
        <v>34</v>
      </c>
      <c r="B37">
        <v>88</v>
      </c>
      <c r="D37" s="4">
        <v>0</v>
      </c>
      <c r="E37" s="4">
        <f t="shared" si="11"/>
        <v>57564</v>
      </c>
      <c r="F37" s="4">
        <f t="shared" si="12"/>
        <v>87897.361046603255</v>
      </c>
      <c r="G37" s="4">
        <f t="shared" si="13"/>
        <v>1845844.5819786682</v>
      </c>
      <c r="H37">
        <f>-9657*(1.1)</f>
        <v>-10622.7</v>
      </c>
      <c r="I37" s="4">
        <f t="shared" si="0"/>
        <v>0</v>
      </c>
      <c r="J37" s="4">
        <f t="shared" si="4"/>
        <v>49712.337499798974</v>
      </c>
      <c r="K37" s="4">
        <f t="shared" si="1"/>
        <v>1807659.558431864</v>
      </c>
      <c r="L37" s="4">
        <f t="shared" si="5"/>
        <v>0</v>
      </c>
      <c r="M37" s="4">
        <f t="shared" si="6"/>
        <v>2982.7402499879381</v>
      </c>
      <c r="N37" s="4">
        <f t="shared" si="7"/>
        <v>0</v>
      </c>
      <c r="O37" s="4">
        <f t="shared" si="8"/>
        <v>105476.83325592389</v>
      </c>
      <c r="P37" s="4">
        <f t="shared" si="2"/>
        <v>1916119.1319377758</v>
      </c>
      <c r="Q37" s="4">
        <f t="shared" si="3"/>
        <v>70274.549959107535</v>
      </c>
      <c r="R37" s="8">
        <f t="shared" si="9"/>
        <v>9.9999999999999915E-3</v>
      </c>
      <c r="S37" s="6">
        <f t="shared" si="10"/>
        <v>9.9999999999999915E-3</v>
      </c>
      <c r="U37" s="6">
        <v>7.0391860788118654E-2</v>
      </c>
    </row>
    <row r="38" spans="1:21" x14ac:dyDescent="0.35">
      <c r="A38">
        <v>35</v>
      </c>
      <c r="B38">
        <v>89</v>
      </c>
      <c r="D38" s="4">
        <v>0</v>
      </c>
      <c r="E38" s="4">
        <f t="shared" si="11"/>
        <v>57564</v>
      </c>
      <c r="F38" s="4">
        <f t="shared" si="12"/>
        <v>95170.429098933411</v>
      </c>
      <c r="G38" s="4">
        <f t="shared" si="13"/>
        <v>1998579.0110776017</v>
      </c>
      <c r="H38">
        <f>-11544*(1.1)</f>
        <v>-12698.400000000001</v>
      </c>
      <c r="I38" s="4">
        <f t="shared" si="0"/>
        <v>0</v>
      </c>
      <c r="J38" s="13">
        <f t="shared" si="4"/>
        <v>12.149959107628092</v>
      </c>
      <c r="K38" s="4">
        <f t="shared" si="1"/>
        <v>1903420.7319377759</v>
      </c>
      <c r="L38" s="4">
        <f t="shared" si="5"/>
        <v>0</v>
      </c>
      <c r="M38" s="4">
        <f t="shared" si="6"/>
        <v>0.72899754645768555</v>
      </c>
      <c r="N38" s="4">
        <f t="shared" si="7"/>
        <v>0</v>
      </c>
      <c r="O38" s="4">
        <f t="shared" si="8"/>
        <v>114204.51491872009</v>
      </c>
      <c r="P38" s="4">
        <f t="shared" si="2"/>
        <v>2017625.9758540425</v>
      </c>
      <c r="Q38" s="4">
        <f>P38-G38</f>
        <v>19046.964776440756</v>
      </c>
      <c r="R38" s="8">
        <f t="shared" si="9"/>
        <v>9.9999999999999967E-3</v>
      </c>
      <c r="S38" s="6">
        <f t="shared" si="10"/>
        <v>9.9999999999999967E-3</v>
      </c>
      <c r="U38" s="6">
        <v>7.1966021570082361E-2</v>
      </c>
    </row>
    <row r="39" spans="1:21" x14ac:dyDescent="0.35">
      <c r="A39">
        <v>36</v>
      </c>
      <c r="B39">
        <v>90</v>
      </c>
      <c r="D39" s="4">
        <v>0</v>
      </c>
      <c r="E39" s="4">
        <v>0</v>
      </c>
      <c r="F39" s="4">
        <f t="shared" si="12"/>
        <v>99928.950553880088</v>
      </c>
      <c r="G39" s="4">
        <f t="shared" si="13"/>
        <v>2098507.961631482</v>
      </c>
      <c r="H39">
        <f>-13731*(1.1)</f>
        <v>-15104.1</v>
      </c>
      <c r="I39" s="4">
        <f t="shared" si="0"/>
        <v>0</v>
      </c>
      <c r="J39" s="4">
        <f t="shared" si="4"/>
        <v>3942.8647764406633</v>
      </c>
      <c r="K39" s="4">
        <f t="shared" si="1"/>
        <v>2002521.8758540424</v>
      </c>
      <c r="L39" s="4">
        <f t="shared" si="5"/>
        <v>0</v>
      </c>
      <c r="M39" s="4">
        <f t="shared" si="6"/>
        <v>236.57188658643977</v>
      </c>
      <c r="N39" s="4">
        <f t="shared" si="7"/>
        <v>0</v>
      </c>
      <c r="O39" s="4">
        <f t="shared" si="8"/>
        <v>119914.7406646561</v>
      </c>
      <c r="P39" s="4">
        <f t="shared" si="2"/>
        <v>2122673.1884052851</v>
      </c>
      <c r="Q39" s="4">
        <f>P39-G39</f>
        <v>24165.226773803122</v>
      </c>
      <c r="R39" s="8">
        <f t="shared" si="9"/>
        <v>9.9999999999999967E-3</v>
      </c>
      <c r="S39" s="6">
        <f t="shared" si="10"/>
        <v>9.9999999999999967E-3</v>
      </c>
      <c r="U39" s="6">
        <v>7.3442842217344761E-2</v>
      </c>
    </row>
    <row r="40" spans="1:21" x14ac:dyDescent="0.35">
      <c r="A40">
        <v>37</v>
      </c>
      <c r="B40">
        <v>91</v>
      </c>
      <c r="D40" s="4">
        <v>0</v>
      </c>
      <c r="E40" s="4">
        <v>0</v>
      </c>
      <c r="F40" s="4">
        <f t="shared" si="12"/>
        <v>104925.39808157411</v>
      </c>
      <c r="G40" s="4">
        <f t="shared" si="13"/>
        <v>2203433.3597130561</v>
      </c>
      <c r="H40">
        <f>-13019*(1.1)</f>
        <v>-14320.900000000001</v>
      </c>
      <c r="I40" s="4">
        <f t="shared" si="0"/>
        <v>0</v>
      </c>
      <c r="J40" s="4">
        <f t="shared" si="4"/>
        <v>9844.3267738032155</v>
      </c>
      <c r="K40" s="4">
        <f t="shared" si="1"/>
        <v>2108352.2884052852</v>
      </c>
      <c r="L40" s="4">
        <f t="shared" si="5"/>
        <v>0</v>
      </c>
      <c r="M40" s="4">
        <f t="shared" si="6"/>
        <v>590.65960642819289</v>
      </c>
      <c r="N40" s="4">
        <f t="shared" si="7"/>
        <v>0</v>
      </c>
      <c r="O40" s="4">
        <f t="shared" si="8"/>
        <v>125910.47769788891</v>
      </c>
      <c r="P40" s="4">
        <f t="shared" si="2"/>
        <v>2234853.4257096024</v>
      </c>
      <c r="Q40" s="4">
        <f t="shared" si="3"/>
        <v>31420.065996546298</v>
      </c>
      <c r="R40" s="8">
        <f t="shared" si="9"/>
        <v>9.9999999999999933E-3</v>
      </c>
      <c r="S40" s="6">
        <f t="shared" si="10"/>
        <v>9.9999999999999933E-3</v>
      </c>
      <c r="U40" s="6">
        <v>7.4832270923079092E-2</v>
      </c>
    </row>
    <row r="41" spans="1:21" x14ac:dyDescent="0.35">
      <c r="A41">
        <v>38</v>
      </c>
      <c r="B41">
        <v>92</v>
      </c>
      <c r="D41" s="4">
        <v>0</v>
      </c>
      <c r="E41" s="4">
        <v>0</v>
      </c>
      <c r="F41" s="4">
        <f t="shared" si="12"/>
        <v>110171.66798565281</v>
      </c>
      <c r="G41" s="4">
        <f t="shared" si="13"/>
        <v>2313605.0276987087</v>
      </c>
      <c r="H41">
        <f>-11445*(1.1)</f>
        <v>-12589.500000000002</v>
      </c>
      <c r="I41" s="4">
        <f t="shared" si="0"/>
        <v>0</v>
      </c>
      <c r="J41" s="4">
        <f t="shared" si="4"/>
        <v>18830.565996546298</v>
      </c>
      <c r="K41" s="4">
        <f t="shared" si="1"/>
        <v>2222263.9257096024</v>
      </c>
      <c r="L41" s="4">
        <f t="shared" si="5"/>
        <v>0</v>
      </c>
      <c r="M41" s="4">
        <f t="shared" si="6"/>
        <v>1129.8339597927779</v>
      </c>
      <c r="N41" s="4">
        <f t="shared" si="7"/>
        <v>0</v>
      </c>
      <c r="O41" s="4">
        <f t="shared" si="8"/>
        <v>132206.00158278336</v>
      </c>
      <c r="P41" s="4">
        <f t="shared" si="2"/>
        <v>2355599.7612521783</v>
      </c>
      <c r="Q41" s="4">
        <f t="shared" si="3"/>
        <v>41994.733553469647</v>
      </c>
      <c r="R41" s="8">
        <f t="shared" si="9"/>
        <v>9.999999999999995E-3</v>
      </c>
      <c r="S41" s="6">
        <f t="shared" si="10"/>
        <v>9.999999999999995E-3</v>
      </c>
      <c r="U41" s="6">
        <v>7.6147825977678441E-2</v>
      </c>
    </row>
    <row r="42" spans="1:21" x14ac:dyDescent="0.35">
      <c r="A42">
        <v>39</v>
      </c>
      <c r="B42">
        <v>93</v>
      </c>
      <c r="D42" s="4">
        <v>0</v>
      </c>
      <c r="E42" s="4">
        <v>0</v>
      </c>
      <c r="F42" s="4">
        <f t="shared" si="12"/>
        <v>115680.25138493544</v>
      </c>
      <c r="G42" s="4">
        <f t="shared" si="13"/>
        <v>2429285.279083644</v>
      </c>
      <c r="H42">
        <f>-8774*(1.1)</f>
        <v>-9651.4000000000015</v>
      </c>
      <c r="I42" s="4">
        <f t="shared" si="0"/>
        <v>0</v>
      </c>
      <c r="J42" s="4">
        <f t="shared" si="4"/>
        <v>32343.33355346974</v>
      </c>
      <c r="K42" s="4">
        <f t="shared" si="1"/>
        <v>2345948.3612521784</v>
      </c>
      <c r="L42" s="4">
        <f t="shared" si="5"/>
        <v>0</v>
      </c>
      <c r="M42" s="4">
        <f t="shared" si="6"/>
        <v>1940.6000132081842</v>
      </c>
      <c r="N42" s="4">
        <f t="shared" si="7"/>
        <v>0</v>
      </c>
      <c r="O42" s="4">
        <f t="shared" si="8"/>
        <v>138816.30166192251</v>
      </c>
      <c r="P42" s="4">
        <f t="shared" si="2"/>
        <v>2486705.2629273091</v>
      </c>
      <c r="Q42" s="4">
        <f t="shared" si="3"/>
        <v>57419.983843665104</v>
      </c>
      <c r="R42" s="8">
        <f t="shared" si="9"/>
        <v>9.9999999999999915E-3</v>
      </c>
      <c r="S42" s="6">
        <f t="shared" si="10"/>
        <v>9.9999999999999915E-3</v>
      </c>
      <c r="U42" s="6">
        <v>7.7401660896186275E-2</v>
      </c>
    </row>
    <row r="43" spans="1:21" x14ac:dyDescent="0.35">
      <c r="A43">
        <v>40</v>
      </c>
      <c r="B43">
        <v>94</v>
      </c>
      <c r="D43" s="4">
        <v>0</v>
      </c>
      <c r="E43" s="4">
        <v>0</v>
      </c>
      <c r="F43" s="4">
        <f t="shared" si="12"/>
        <v>121464.26395418221</v>
      </c>
      <c r="G43" s="4">
        <f t="shared" si="13"/>
        <v>2550749.5430378262</v>
      </c>
      <c r="H43">
        <f>-4698*(1.1)</f>
        <v>-5167.8</v>
      </c>
      <c r="I43" s="4">
        <f t="shared" si="0"/>
        <v>0</v>
      </c>
      <c r="J43" s="4">
        <f t="shared" si="4"/>
        <v>52252.183843665291</v>
      </c>
      <c r="K43" s="4">
        <f t="shared" si="1"/>
        <v>2481537.4629273093</v>
      </c>
      <c r="L43" s="4">
        <f t="shared" si="5"/>
        <v>0</v>
      </c>
      <c r="M43" s="4">
        <f t="shared" si="6"/>
        <v>3135.1310306199175</v>
      </c>
      <c r="N43" s="4">
        <f t="shared" si="7"/>
        <v>0</v>
      </c>
      <c r="O43" s="4">
        <f t="shared" si="8"/>
        <v>145757.11674501863</v>
      </c>
      <c r="P43" s="4">
        <f t="shared" si="2"/>
        <v>2630429.7107029483</v>
      </c>
      <c r="Q43" s="4">
        <f t="shared" si="3"/>
        <v>79680.167665122077</v>
      </c>
      <c r="R43" s="8">
        <f t="shared" si="9"/>
        <v>9.9999999999999915E-3</v>
      </c>
      <c r="S43" s="6">
        <f t="shared" si="10"/>
        <v>9.9999999999999915E-3</v>
      </c>
      <c r="U43" s="6">
        <v>7.8604861953891936E-2</v>
      </c>
    </row>
    <row r="44" spans="1:21" x14ac:dyDescent="0.35">
      <c r="A44">
        <v>41</v>
      </c>
      <c r="B44">
        <v>95</v>
      </c>
      <c r="D44" s="4">
        <v>0</v>
      </c>
      <c r="E44" s="4">
        <v>0</v>
      </c>
      <c r="F44" s="4">
        <f t="shared" si="12"/>
        <v>127537.47715189132</v>
      </c>
      <c r="G44" s="4">
        <f t="shared" si="13"/>
        <v>2678287.0201897174</v>
      </c>
      <c r="H44">
        <f t="shared" ref="H44:H69" si="14">-60*(1.1)</f>
        <v>-66</v>
      </c>
      <c r="I44" s="4">
        <f t="shared" si="0"/>
        <v>0</v>
      </c>
      <c r="J44" s="4">
        <f t="shared" si="4"/>
        <v>79614.167665122077</v>
      </c>
      <c r="K44" s="4">
        <f t="shared" si="1"/>
        <v>2630363.7107029483</v>
      </c>
      <c r="L44" s="4">
        <f t="shared" si="5"/>
        <v>0</v>
      </c>
      <c r="M44" s="4">
        <f t="shared" si="6"/>
        <v>4776.8500599073241</v>
      </c>
      <c r="N44" s="4">
        <f t="shared" si="7"/>
        <v>0</v>
      </c>
      <c r="O44" s="4">
        <f t="shared" si="8"/>
        <v>153044.97258226958</v>
      </c>
      <c r="P44" s="4">
        <f t="shared" si="2"/>
        <v>2788185.5333451251</v>
      </c>
      <c r="Q44" s="4">
        <f t="shared" si="3"/>
        <v>109898.51315540774</v>
      </c>
      <c r="R44" s="8">
        <f t="shared" si="9"/>
        <v>9.9999999999999985E-3</v>
      </c>
      <c r="S44" s="6">
        <f t="shared" si="10"/>
        <v>9.9999999999999985E-3</v>
      </c>
      <c r="U44" s="6">
        <v>7.975717115487102E-2</v>
      </c>
    </row>
    <row r="45" spans="1:21" x14ac:dyDescent="0.35">
      <c r="A45">
        <v>42</v>
      </c>
      <c r="B45">
        <v>96</v>
      </c>
      <c r="D45" s="4">
        <v>0</v>
      </c>
      <c r="E45" s="4">
        <v>0</v>
      </c>
      <c r="F45" s="4">
        <f t="shared" si="12"/>
        <v>133914.35100948586</v>
      </c>
      <c r="G45" s="4">
        <f t="shared" si="13"/>
        <v>2812201.3711992032</v>
      </c>
      <c r="H45">
        <f t="shared" si="14"/>
        <v>-66</v>
      </c>
      <c r="I45" s="4">
        <f t="shared" si="0"/>
        <v>0</v>
      </c>
      <c r="J45" s="4">
        <f t="shared" si="4"/>
        <v>109832.51315540774</v>
      </c>
      <c r="K45" s="4">
        <f t="shared" si="1"/>
        <v>2788119.5333451251</v>
      </c>
      <c r="L45" s="4">
        <f t="shared" si="5"/>
        <v>0</v>
      </c>
      <c r="M45" s="4">
        <f t="shared" si="6"/>
        <v>6589.9507893244636</v>
      </c>
      <c r="N45" s="4">
        <f t="shared" si="7"/>
        <v>0</v>
      </c>
      <c r="O45" s="4">
        <f t="shared" si="8"/>
        <v>160697.22121138303</v>
      </c>
      <c r="P45" s="4">
        <f t="shared" si="2"/>
        <v>2955406.7053458327</v>
      </c>
      <c r="Q45" s="4">
        <f t="shared" si="3"/>
        <v>143205.33414662955</v>
      </c>
      <c r="R45" s="8">
        <f t="shared" si="9"/>
        <v>9.9999999999999967E-3</v>
      </c>
      <c r="S45" s="6">
        <f t="shared" si="10"/>
        <v>9.9999999999999967E-3</v>
      </c>
      <c r="U45" s="6">
        <v>8.0819612325916168E-2</v>
      </c>
    </row>
    <row r="46" spans="1:21" x14ac:dyDescent="0.35">
      <c r="A46">
        <v>43</v>
      </c>
      <c r="B46">
        <v>97</v>
      </c>
      <c r="D46" s="4">
        <v>0</v>
      </c>
      <c r="E46" s="4">
        <v>0</v>
      </c>
      <c r="F46" s="4">
        <f t="shared" si="12"/>
        <v>140610.06855996017</v>
      </c>
      <c r="G46" s="4">
        <f t="shared" si="13"/>
        <v>2952811.4397591632</v>
      </c>
      <c r="H46">
        <f t="shared" si="14"/>
        <v>-66</v>
      </c>
      <c r="I46" s="4">
        <f t="shared" si="0"/>
        <v>0</v>
      </c>
      <c r="J46" s="4">
        <f t="shared" si="4"/>
        <v>143139.33414662955</v>
      </c>
      <c r="K46" s="4">
        <f t="shared" si="1"/>
        <v>2955340.7053458327</v>
      </c>
      <c r="L46" s="4">
        <f t="shared" si="5"/>
        <v>0</v>
      </c>
      <c r="M46" s="4">
        <f t="shared" si="6"/>
        <v>8588.3600487977728</v>
      </c>
      <c r="N46" s="4">
        <f t="shared" si="7"/>
        <v>0</v>
      </c>
      <c r="O46" s="4">
        <f t="shared" si="8"/>
        <v>168732.08227195218</v>
      </c>
      <c r="P46" s="4">
        <f t="shared" si="2"/>
        <v>3132661.1476665828</v>
      </c>
      <c r="Q46" s="4">
        <f t="shared" si="3"/>
        <v>179849.70790741965</v>
      </c>
      <c r="R46" s="8">
        <f t="shared" si="9"/>
        <v>9.9999999999999933E-3</v>
      </c>
      <c r="S46" s="6">
        <f t="shared" si="10"/>
        <v>9.9999999999999933E-3</v>
      </c>
      <c r="U46" s="6">
        <v>8.1800092365694743E-2</v>
      </c>
    </row>
    <row r="47" spans="1:21" x14ac:dyDescent="0.35">
      <c r="A47">
        <v>44</v>
      </c>
      <c r="B47">
        <v>98</v>
      </c>
      <c r="D47" s="4">
        <v>0</v>
      </c>
      <c r="E47" s="4">
        <v>0</v>
      </c>
      <c r="F47" s="4">
        <f t="shared" si="12"/>
        <v>147640.57198795816</v>
      </c>
      <c r="G47" s="4">
        <f t="shared" si="13"/>
        <v>3100452.0117471213</v>
      </c>
      <c r="H47">
        <f t="shared" si="14"/>
        <v>-66</v>
      </c>
      <c r="I47" s="4">
        <f t="shared" si="0"/>
        <v>0</v>
      </c>
      <c r="J47" s="4">
        <f t="shared" si="4"/>
        <v>179783.70790741965</v>
      </c>
      <c r="K47" s="4">
        <f t="shared" si="1"/>
        <v>3132595.1476665828</v>
      </c>
      <c r="L47" s="4">
        <f t="shared" si="5"/>
        <v>0</v>
      </c>
      <c r="M47" s="4">
        <f t="shared" si="6"/>
        <v>10787.022474445179</v>
      </c>
      <c r="N47" s="4">
        <f t="shared" si="7"/>
        <v>0</v>
      </c>
      <c r="O47" s="4">
        <f t="shared" si="8"/>
        <v>177168.68638554978</v>
      </c>
      <c r="P47" s="4">
        <f t="shared" si="2"/>
        <v>3320550.8565265778</v>
      </c>
      <c r="Q47" s="4">
        <f t="shared" si="3"/>
        <v>220098.8447794565</v>
      </c>
      <c r="R47" s="8">
        <f t="shared" si="9"/>
        <v>9.9999999999999967E-3</v>
      </c>
      <c r="S47" s="6">
        <f t="shared" si="10"/>
        <v>9.9999999999999967E-3</v>
      </c>
      <c r="U47" s="6">
        <v>8.2705773683970252E-2</v>
      </c>
    </row>
    <row r="48" spans="1:21" x14ac:dyDescent="0.35">
      <c r="A48">
        <v>45</v>
      </c>
      <c r="B48">
        <v>99</v>
      </c>
      <c r="D48" s="4">
        <v>0</v>
      </c>
      <c r="E48" s="4">
        <v>0</v>
      </c>
      <c r="F48" s="4">
        <f t="shared" si="12"/>
        <v>155022.60058735608</v>
      </c>
      <c r="G48" s="4">
        <f t="shared" si="13"/>
        <v>3255474.6123344772</v>
      </c>
      <c r="H48">
        <f t="shared" si="14"/>
        <v>-66</v>
      </c>
      <c r="I48" s="4">
        <f t="shared" si="0"/>
        <v>0</v>
      </c>
      <c r="J48" s="4">
        <f t="shared" si="4"/>
        <v>220032.8447794565</v>
      </c>
      <c r="K48" s="4">
        <f t="shared" si="1"/>
        <v>3320484.8565265778</v>
      </c>
      <c r="L48" s="4">
        <f t="shared" si="5"/>
        <v>0</v>
      </c>
      <c r="M48" s="4">
        <f t="shared" si="6"/>
        <v>13201.97068676739</v>
      </c>
      <c r="N48" s="4">
        <f t="shared" si="7"/>
        <v>0</v>
      </c>
      <c r="O48" s="4">
        <f t="shared" si="8"/>
        <v>186027.12070482728</v>
      </c>
      <c r="P48" s="4">
        <f t="shared" si="2"/>
        <v>3519713.9479181725</v>
      </c>
      <c r="Q48" s="4">
        <f t="shared" si="3"/>
        <v>264239.33558369521</v>
      </c>
      <c r="R48" s="8">
        <f t="shared" si="9"/>
        <v>9.999999999999995E-3</v>
      </c>
      <c r="S48" s="6">
        <f t="shared" si="10"/>
        <v>9.999999999999995E-3</v>
      </c>
      <c r="U48" s="6">
        <v>8.3543138406236173E-2</v>
      </c>
    </row>
    <row r="49" spans="1:21" x14ac:dyDescent="0.35">
      <c r="A49">
        <v>46</v>
      </c>
      <c r="B49">
        <v>100</v>
      </c>
      <c r="D49" s="4">
        <v>0</v>
      </c>
      <c r="E49" s="4">
        <v>0</v>
      </c>
      <c r="F49" s="4">
        <f t="shared" si="12"/>
        <v>162773.73061672389</v>
      </c>
      <c r="G49" s="4">
        <f t="shared" si="13"/>
        <v>3418248.3429512009</v>
      </c>
      <c r="H49">
        <f t="shared" si="14"/>
        <v>-66</v>
      </c>
      <c r="I49" s="4">
        <f t="shared" si="0"/>
        <v>0</v>
      </c>
      <c r="J49" s="4">
        <f t="shared" si="4"/>
        <v>264173.33558369521</v>
      </c>
      <c r="K49" s="4">
        <f t="shared" si="1"/>
        <v>3519647.9479181725</v>
      </c>
      <c r="L49" s="4">
        <f t="shared" si="5"/>
        <v>0</v>
      </c>
      <c r="M49" s="4">
        <f t="shared" si="6"/>
        <v>15850.400135021711</v>
      </c>
      <c r="N49" s="4">
        <f t="shared" si="7"/>
        <v>0</v>
      </c>
      <c r="O49" s="4">
        <f t="shared" si="8"/>
        <v>195328.47674006864</v>
      </c>
      <c r="P49" s="4">
        <f t="shared" si="2"/>
        <v>3730826.8247932629</v>
      </c>
      <c r="Q49" s="4">
        <f t="shared" si="3"/>
        <v>312578.48184206197</v>
      </c>
      <c r="R49" s="8">
        <f t="shared" si="9"/>
        <v>9.999999999999995E-3</v>
      </c>
      <c r="S49" s="6">
        <f t="shared" si="10"/>
        <v>9.999999999999995E-3</v>
      </c>
      <c r="U49" s="6">
        <v>8.4318050743820372E-2</v>
      </c>
    </row>
    <row r="50" spans="1:21" x14ac:dyDescent="0.35">
      <c r="A50">
        <v>47</v>
      </c>
      <c r="B50">
        <v>101</v>
      </c>
      <c r="D50" s="4">
        <v>0</v>
      </c>
      <c r="E50" s="4">
        <v>0</v>
      </c>
      <c r="F50" s="4">
        <f t="shared" si="12"/>
        <v>170912.41714756005</v>
      </c>
      <c r="G50" s="4">
        <f t="shared" si="13"/>
        <v>3589160.7600987609</v>
      </c>
      <c r="H50">
        <f t="shared" si="14"/>
        <v>-66</v>
      </c>
      <c r="I50" s="4">
        <f t="shared" si="0"/>
        <v>0</v>
      </c>
      <c r="J50" s="4">
        <f t="shared" si="4"/>
        <v>312512.48184206197</v>
      </c>
      <c r="K50" s="4">
        <f t="shared" si="1"/>
        <v>3730760.8247932629</v>
      </c>
      <c r="L50" s="4">
        <f t="shared" si="5"/>
        <v>0</v>
      </c>
      <c r="M50" s="4">
        <f t="shared" si="6"/>
        <v>18750.748910523718</v>
      </c>
      <c r="N50" s="4">
        <f t="shared" si="7"/>
        <v>0</v>
      </c>
      <c r="O50" s="4">
        <f t="shared" si="8"/>
        <v>205094.90057707205</v>
      </c>
      <c r="P50" s="4">
        <f t="shared" si="2"/>
        <v>3954606.4742808584</v>
      </c>
      <c r="Q50" s="4">
        <f t="shared" si="3"/>
        <v>365445.71418209746</v>
      </c>
      <c r="R50" s="8">
        <f t="shared" si="9"/>
        <v>0.01</v>
      </c>
      <c r="S50" s="6">
        <f t="shared" si="10"/>
        <v>0.01</v>
      </c>
      <c r="U50" s="6">
        <v>8.5035815989316976E-2</v>
      </c>
    </row>
    <row r="51" spans="1:21" x14ac:dyDescent="0.35">
      <c r="A51">
        <v>48</v>
      </c>
      <c r="B51">
        <v>102</v>
      </c>
      <c r="D51" s="4">
        <v>0</v>
      </c>
      <c r="E51" s="4">
        <v>0</v>
      </c>
      <c r="F51" s="4">
        <f t="shared" si="12"/>
        <v>179458.03800493805</v>
      </c>
      <c r="G51" s="4">
        <f t="shared" si="13"/>
        <v>3768618.798103699</v>
      </c>
      <c r="H51">
        <f t="shared" si="14"/>
        <v>-66</v>
      </c>
      <c r="I51" s="4">
        <f t="shared" si="0"/>
        <v>0</v>
      </c>
      <c r="J51" s="4">
        <f t="shared" si="4"/>
        <v>365379.71418209746</v>
      </c>
      <c r="K51" s="4">
        <f t="shared" si="1"/>
        <v>3954540.4742808584</v>
      </c>
      <c r="L51" s="4">
        <f t="shared" si="5"/>
        <v>0</v>
      </c>
      <c r="M51" s="4">
        <f t="shared" si="6"/>
        <v>21922.782850925847</v>
      </c>
      <c r="N51" s="4">
        <f t="shared" si="7"/>
        <v>0</v>
      </c>
      <c r="O51" s="4">
        <f t="shared" si="8"/>
        <v>215349.64560592565</v>
      </c>
      <c r="P51" s="4">
        <f t="shared" si="2"/>
        <v>4191812.9027377097</v>
      </c>
      <c r="Q51" s="4">
        <f t="shared" si="3"/>
        <v>423194.1046340107</v>
      </c>
      <c r="R51" s="8">
        <f t="shared" si="9"/>
        <v>9.9999999999999967E-3</v>
      </c>
      <c r="S51" s="6">
        <f t="shared" si="10"/>
        <v>9.9999999999999967E-3</v>
      </c>
      <c r="U51" s="6">
        <v>8.5701235329675773E-2</v>
      </c>
    </row>
    <row r="52" spans="1:21" x14ac:dyDescent="0.35">
      <c r="A52">
        <v>49</v>
      </c>
      <c r="B52">
        <v>103</v>
      </c>
      <c r="D52" s="4">
        <v>0</v>
      </c>
      <c r="E52" s="4">
        <v>0</v>
      </c>
      <c r="F52" s="4">
        <f t="shared" si="12"/>
        <v>188430.93990518496</v>
      </c>
      <c r="G52" s="4">
        <f t="shared" si="13"/>
        <v>3957049.7380088838</v>
      </c>
      <c r="H52">
        <f t="shared" si="14"/>
        <v>-66</v>
      </c>
      <c r="I52" s="4">
        <f t="shared" si="0"/>
        <v>0</v>
      </c>
      <c r="J52" s="4">
        <f t="shared" si="4"/>
        <v>423128.1046340107</v>
      </c>
      <c r="K52" s="4">
        <f t="shared" si="1"/>
        <v>4191746.9027377097</v>
      </c>
      <c r="L52" s="4">
        <f t="shared" si="5"/>
        <v>0</v>
      </c>
      <c r="M52" s="4">
        <f t="shared" si="6"/>
        <v>25387.686278040641</v>
      </c>
      <c r="N52" s="4">
        <f t="shared" si="7"/>
        <v>0</v>
      </c>
      <c r="O52" s="4">
        <f t="shared" si="8"/>
        <v>226117.12788622192</v>
      </c>
      <c r="P52" s="4">
        <f t="shared" si="2"/>
        <v>4443251.716901972</v>
      </c>
      <c r="Q52" s="4">
        <f t="shared" si="3"/>
        <v>486201.97889308818</v>
      </c>
      <c r="R52" s="8">
        <f t="shared" si="9"/>
        <v>9.9999999999999915E-3</v>
      </c>
      <c r="S52" s="6">
        <f t="shared" si="10"/>
        <v>9.9999999999999915E-3</v>
      </c>
      <c r="U52" s="6">
        <v>8.6318656151514572E-2</v>
      </c>
    </row>
    <row r="53" spans="1:21" x14ac:dyDescent="0.35">
      <c r="A53">
        <v>50</v>
      </c>
      <c r="B53">
        <v>104</v>
      </c>
      <c r="D53" s="4">
        <v>0</v>
      </c>
      <c r="E53" s="4">
        <v>0</v>
      </c>
      <c r="F53" s="4">
        <f t="shared" si="12"/>
        <v>197852.4869004442</v>
      </c>
      <c r="G53" s="4">
        <f t="shared" si="13"/>
        <v>4154902.2249093279</v>
      </c>
      <c r="H53">
        <f t="shared" si="14"/>
        <v>-66</v>
      </c>
      <c r="I53" s="4">
        <f t="shared" si="0"/>
        <v>0</v>
      </c>
      <c r="J53" s="4">
        <f t="shared" si="4"/>
        <v>486135.97889308818</v>
      </c>
      <c r="K53" s="4">
        <f t="shared" si="1"/>
        <v>4443185.716901972</v>
      </c>
      <c r="L53" s="4">
        <f t="shared" si="5"/>
        <v>0</v>
      </c>
      <c r="M53" s="4">
        <f t="shared" si="6"/>
        <v>29168.158733585289</v>
      </c>
      <c r="N53" s="4">
        <f t="shared" si="7"/>
        <v>0</v>
      </c>
      <c r="O53" s="4">
        <f t="shared" si="8"/>
        <v>237422.98428053301</v>
      </c>
      <c r="P53" s="4">
        <f t="shared" si="2"/>
        <v>4709776.85991609</v>
      </c>
      <c r="Q53" s="4">
        <f t="shared" si="3"/>
        <v>554874.63500676211</v>
      </c>
      <c r="R53" s="8">
        <f t="shared" si="9"/>
        <v>9.9999999999999933E-3</v>
      </c>
      <c r="S53" s="6">
        <f t="shared" si="10"/>
        <v>9.9999999999999933E-3</v>
      </c>
      <c r="U53" s="6">
        <v>8.689201779619582E-2</v>
      </c>
    </row>
    <row r="54" spans="1:21" x14ac:dyDescent="0.35">
      <c r="A54">
        <v>51</v>
      </c>
      <c r="B54">
        <v>105</v>
      </c>
      <c r="D54" s="4">
        <v>0</v>
      </c>
      <c r="E54" s="4">
        <v>0</v>
      </c>
      <c r="F54" s="4">
        <f t="shared" si="12"/>
        <v>207745.1112454664</v>
      </c>
      <c r="G54" s="4">
        <f t="shared" si="13"/>
        <v>4362647.3361547943</v>
      </c>
      <c r="H54">
        <f t="shared" si="14"/>
        <v>-66</v>
      </c>
      <c r="I54" s="4">
        <f t="shared" si="0"/>
        <v>0</v>
      </c>
      <c r="J54" s="4">
        <f t="shared" si="4"/>
        <v>554808.63500676211</v>
      </c>
      <c r="K54" s="4">
        <f t="shared" si="1"/>
        <v>4709710.85991609</v>
      </c>
      <c r="L54" s="4">
        <f t="shared" si="5"/>
        <v>0</v>
      </c>
      <c r="M54" s="4">
        <f t="shared" si="6"/>
        <v>33288.518100405723</v>
      </c>
      <c r="N54" s="4">
        <f t="shared" si="7"/>
        <v>0</v>
      </c>
      <c r="O54" s="4">
        <f t="shared" si="8"/>
        <v>249294.13349455968</v>
      </c>
      <c r="P54" s="4">
        <f t="shared" si="2"/>
        <v>4992293.5115110558</v>
      </c>
      <c r="Q54" s="4">
        <f t="shared" si="3"/>
        <v>629646.17535626143</v>
      </c>
      <c r="R54" s="8">
        <f t="shared" si="9"/>
        <v>0.01</v>
      </c>
      <c r="S54" s="6">
        <f t="shared" si="10"/>
        <v>0.01</v>
      </c>
      <c r="U54" s="6">
        <v>8.7424892928138487E-2</v>
      </c>
    </row>
    <row r="55" spans="1:21" x14ac:dyDescent="0.35">
      <c r="A55">
        <v>52</v>
      </c>
      <c r="B55">
        <v>106</v>
      </c>
      <c r="D55" s="4">
        <v>0</v>
      </c>
      <c r="E55" s="4">
        <v>0</v>
      </c>
      <c r="F55" s="4">
        <f t="shared" si="12"/>
        <v>218132.36680773972</v>
      </c>
      <c r="G55" s="4">
        <f t="shared" si="13"/>
        <v>4580779.7029625345</v>
      </c>
      <c r="H55">
        <f t="shared" si="14"/>
        <v>-66</v>
      </c>
      <c r="I55" s="4">
        <f t="shared" si="0"/>
        <v>0</v>
      </c>
      <c r="J55" s="4">
        <f t="shared" si="4"/>
        <v>629580.17535626143</v>
      </c>
      <c r="K55" s="4">
        <f t="shared" si="1"/>
        <v>4992227.5115110558</v>
      </c>
      <c r="L55" s="4">
        <f t="shared" si="5"/>
        <v>0</v>
      </c>
      <c r="M55" s="4">
        <f t="shared" si="6"/>
        <v>37774.810521375686</v>
      </c>
      <c r="N55" s="4">
        <f t="shared" si="7"/>
        <v>0</v>
      </c>
      <c r="O55" s="4">
        <f t="shared" si="8"/>
        <v>261758.84016928764</v>
      </c>
      <c r="P55" s="4">
        <f t="shared" si="2"/>
        <v>5291761.1622017184</v>
      </c>
      <c r="Q55" s="4">
        <f t="shared" si="3"/>
        <v>710981.45923918393</v>
      </c>
      <c r="R55" s="8">
        <f t="shared" si="9"/>
        <v>9.999999999999995E-3</v>
      </c>
      <c r="S55" s="6">
        <f t="shared" si="10"/>
        <v>9.999999999999995E-3</v>
      </c>
      <c r="U55" s="6">
        <v>8.7920524762899355E-2</v>
      </c>
    </row>
    <row r="56" spans="1:21" x14ac:dyDescent="0.35">
      <c r="A56">
        <v>53</v>
      </c>
      <c r="B56">
        <v>107</v>
      </c>
      <c r="D56" s="4">
        <v>0</v>
      </c>
      <c r="E56" s="4">
        <v>0</v>
      </c>
      <c r="F56" s="4">
        <f t="shared" si="12"/>
        <v>229038.98514812673</v>
      </c>
      <c r="G56" s="4">
        <f t="shared" si="13"/>
        <v>4809818.6881106608</v>
      </c>
      <c r="H56">
        <f t="shared" si="14"/>
        <v>-66</v>
      </c>
      <c r="I56" s="4">
        <f t="shared" si="0"/>
        <v>0</v>
      </c>
      <c r="J56" s="4">
        <f t="shared" si="4"/>
        <v>710915.45923918393</v>
      </c>
      <c r="K56" s="4">
        <f t="shared" si="1"/>
        <v>5291695.1622017184</v>
      </c>
      <c r="L56" s="4">
        <f t="shared" si="5"/>
        <v>0</v>
      </c>
      <c r="M56" s="4">
        <f t="shared" si="6"/>
        <v>42654.927554351038</v>
      </c>
      <c r="N56" s="4">
        <f t="shared" si="7"/>
        <v>0</v>
      </c>
      <c r="O56" s="4">
        <f t="shared" si="8"/>
        <v>274846.78217775206</v>
      </c>
      <c r="P56" s="4">
        <f t="shared" si="2"/>
        <v>5609196.8719338216</v>
      </c>
      <c r="Q56" s="4">
        <f t="shared" si="3"/>
        <v>799378.18382316083</v>
      </c>
      <c r="R56" s="8">
        <f t="shared" si="9"/>
        <v>9.9999999999999967E-3</v>
      </c>
      <c r="S56" s="6">
        <f t="shared" si="10"/>
        <v>9.9999999999999967E-3</v>
      </c>
      <c r="U56" s="6">
        <v>8.8381860472632301E-2</v>
      </c>
    </row>
    <row r="57" spans="1:21" x14ac:dyDescent="0.35">
      <c r="A57">
        <v>54</v>
      </c>
      <c r="B57">
        <v>108</v>
      </c>
      <c r="D57" s="4">
        <v>0</v>
      </c>
      <c r="E57" s="4">
        <v>0</v>
      </c>
      <c r="F57" s="4">
        <f t="shared" si="12"/>
        <v>240490.93440553304</v>
      </c>
      <c r="G57" s="4">
        <f t="shared" si="13"/>
        <v>5050309.6225161934</v>
      </c>
      <c r="H57">
        <f t="shared" si="14"/>
        <v>-66</v>
      </c>
      <c r="I57" s="4">
        <f t="shared" si="0"/>
        <v>0</v>
      </c>
      <c r="J57" s="4">
        <f t="shared" si="4"/>
        <v>799312.18382316083</v>
      </c>
      <c r="K57" s="4">
        <f t="shared" si="1"/>
        <v>5609130.8719338216</v>
      </c>
      <c r="L57" s="4">
        <f t="shared" si="5"/>
        <v>0</v>
      </c>
      <c r="M57" s="4">
        <f t="shared" si="6"/>
        <v>47958.731029389644</v>
      </c>
      <c r="N57" s="4">
        <f t="shared" si="7"/>
        <v>0</v>
      </c>
      <c r="O57" s="4">
        <f t="shared" si="8"/>
        <v>288589.12128663965</v>
      </c>
      <c r="P57" s="4">
        <f t="shared" si="2"/>
        <v>5945678.724249851</v>
      </c>
      <c r="Q57" s="4">
        <f t="shared" si="3"/>
        <v>895369.10173365753</v>
      </c>
      <c r="R57" s="8">
        <f t="shared" si="9"/>
        <v>0.01</v>
      </c>
      <c r="S57" s="6">
        <f t="shared" si="10"/>
        <v>0.01</v>
      </c>
      <c r="U57" s="6">
        <v>8.8811581090655567E-2</v>
      </c>
    </row>
    <row r="58" spans="1:21" x14ac:dyDescent="0.35">
      <c r="A58">
        <v>55</v>
      </c>
      <c r="B58">
        <v>109</v>
      </c>
      <c r="D58" s="4">
        <v>0</v>
      </c>
      <c r="E58" s="4">
        <v>0</v>
      </c>
      <c r="F58" s="4">
        <f t="shared" si="12"/>
        <v>252515.48112580969</v>
      </c>
      <c r="G58" s="4">
        <f t="shared" si="13"/>
        <v>5302825.1036420027</v>
      </c>
      <c r="H58">
        <f t="shared" si="14"/>
        <v>-66</v>
      </c>
      <c r="I58" s="4">
        <f t="shared" si="0"/>
        <v>0</v>
      </c>
      <c r="J58" s="4">
        <f t="shared" si="4"/>
        <v>895303.10173365753</v>
      </c>
      <c r="K58" s="4">
        <f t="shared" si="1"/>
        <v>5945612.724249851</v>
      </c>
      <c r="L58" s="4">
        <f t="shared" si="5"/>
        <v>0</v>
      </c>
      <c r="M58" s="4">
        <f t="shared" si="6"/>
        <v>53718.186104019449</v>
      </c>
      <c r="N58" s="4">
        <f t="shared" si="7"/>
        <v>0</v>
      </c>
      <c r="O58" s="4">
        <f t="shared" si="8"/>
        <v>303018.57735097158</v>
      </c>
      <c r="P58" s="4">
        <f t="shared" si="2"/>
        <v>6302349.4877048414</v>
      </c>
      <c r="Q58" s="4">
        <f t="shared" si="3"/>
        <v>999524.38406283874</v>
      </c>
      <c r="R58" s="8">
        <f t="shared" si="9"/>
        <v>9.9999999999999915E-3</v>
      </c>
      <c r="S58" s="6">
        <f t="shared" si="10"/>
        <v>9.9999999999999915E-3</v>
      </c>
      <c r="U58" s="6">
        <v>8.9212128252942113E-2</v>
      </c>
    </row>
    <row r="59" spans="1:21" x14ac:dyDescent="0.35">
      <c r="A59">
        <v>56</v>
      </c>
      <c r="B59">
        <v>110</v>
      </c>
      <c r="D59" s="4">
        <v>0</v>
      </c>
      <c r="E59" s="4">
        <v>0</v>
      </c>
      <c r="F59" s="4">
        <f t="shared" si="12"/>
        <v>265141.25518210017</v>
      </c>
      <c r="G59" s="4">
        <f t="shared" si="13"/>
        <v>5567966.3588241031</v>
      </c>
      <c r="H59">
        <f t="shared" si="14"/>
        <v>-66</v>
      </c>
      <c r="I59" s="4">
        <f t="shared" si="0"/>
        <v>0</v>
      </c>
      <c r="J59" s="4">
        <f t="shared" si="4"/>
        <v>999458.38406283874</v>
      </c>
      <c r="K59" s="4">
        <f t="shared" si="1"/>
        <v>6302283.4877048414</v>
      </c>
      <c r="L59" s="4">
        <f t="shared" si="5"/>
        <v>0</v>
      </c>
      <c r="M59" s="4">
        <f t="shared" si="6"/>
        <v>59967.503043770324</v>
      </c>
      <c r="N59" s="4">
        <f t="shared" si="7"/>
        <v>0</v>
      </c>
      <c r="O59" s="4">
        <f t="shared" si="8"/>
        <v>318169.50621852017</v>
      </c>
      <c r="P59" s="4">
        <f t="shared" si="2"/>
        <v>6680420.4969671322</v>
      </c>
      <c r="Q59" s="4">
        <f t="shared" si="3"/>
        <v>1112454.1381430291</v>
      </c>
      <c r="R59" s="8">
        <f t="shared" si="9"/>
        <v>9.999999999999995E-3</v>
      </c>
      <c r="S59" s="6">
        <f t="shared" si="10"/>
        <v>9.999999999999995E-3</v>
      </c>
      <c r="U59" s="6">
        <v>8.9585728085713301E-2</v>
      </c>
    </row>
    <row r="60" spans="1:21" x14ac:dyDescent="0.35">
      <c r="A60">
        <v>57</v>
      </c>
      <c r="B60">
        <v>111</v>
      </c>
      <c r="D60" s="4">
        <v>0</v>
      </c>
      <c r="E60" s="4">
        <v>0</v>
      </c>
      <c r="F60" s="4">
        <f t="shared" si="12"/>
        <v>278398.31794120517</v>
      </c>
      <c r="G60" s="4">
        <f t="shared" si="13"/>
        <v>5846364.6767653087</v>
      </c>
      <c r="H60">
        <f t="shared" si="14"/>
        <v>-66</v>
      </c>
      <c r="I60" s="4">
        <f t="shared" si="0"/>
        <v>0</v>
      </c>
      <c r="J60" s="4">
        <f t="shared" si="4"/>
        <v>1112388.1381430291</v>
      </c>
      <c r="K60" s="4">
        <f t="shared" si="1"/>
        <v>6680354.4969671322</v>
      </c>
      <c r="L60" s="4">
        <f t="shared" si="5"/>
        <v>0</v>
      </c>
      <c r="M60" s="4">
        <f t="shared" si="6"/>
        <v>66743.288288581738</v>
      </c>
      <c r="N60" s="4">
        <f t="shared" si="7"/>
        <v>0</v>
      </c>
      <c r="O60" s="4">
        <f t="shared" si="8"/>
        <v>334077.9815294462</v>
      </c>
      <c r="P60" s="4">
        <f t="shared" si="2"/>
        <v>7081175.7667851606</v>
      </c>
      <c r="Q60" s="4">
        <f t="shared" si="3"/>
        <v>1234811.0900198519</v>
      </c>
      <c r="R60" s="8">
        <f t="shared" si="9"/>
        <v>0.01</v>
      </c>
      <c r="S60" s="6">
        <f t="shared" si="10"/>
        <v>0.01</v>
      </c>
      <c r="U60" s="6">
        <v>8.9934412541860187E-2</v>
      </c>
    </row>
    <row r="61" spans="1:21" x14ac:dyDescent="0.35">
      <c r="A61">
        <v>58</v>
      </c>
      <c r="B61">
        <v>112</v>
      </c>
      <c r="D61" s="4">
        <v>0</v>
      </c>
      <c r="E61" s="4">
        <v>0</v>
      </c>
      <c r="F61" s="4">
        <f t="shared" si="12"/>
        <v>292318.23383826547</v>
      </c>
      <c r="G61" s="4">
        <f t="shared" si="13"/>
        <v>6138682.9106035745</v>
      </c>
      <c r="H61">
        <f t="shared" si="14"/>
        <v>-66</v>
      </c>
      <c r="I61" s="4">
        <f t="shared" si="0"/>
        <v>0</v>
      </c>
      <c r="J61" s="4">
        <f t="shared" si="4"/>
        <v>1234745.0900198519</v>
      </c>
      <c r="K61" s="4">
        <f t="shared" si="1"/>
        <v>7081109.7667851606</v>
      </c>
      <c r="L61" s="4">
        <f t="shared" si="5"/>
        <v>0</v>
      </c>
      <c r="M61" s="4">
        <f t="shared" si="6"/>
        <v>74084.70540119111</v>
      </c>
      <c r="N61" s="4">
        <f t="shared" si="7"/>
        <v>0</v>
      </c>
      <c r="O61" s="4">
        <f t="shared" si="8"/>
        <v>350781.88060591853</v>
      </c>
      <c r="P61" s="4">
        <f t="shared" si="2"/>
        <v>7505976.3527922705</v>
      </c>
      <c r="Q61" s="4">
        <f t="shared" si="3"/>
        <v>1367293.442188696</v>
      </c>
      <c r="R61" s="8">
        <f t="shared" si="9"/>
        <v>9.999999999999995E-3</v>
      </c>
      <c r="S61" s="6">
        <f t="shared" si="10"/>
        <v>9.999999999999995E-3</v>
      </c>
      <c r="U61" s="6">
        <v>9.0260038453046088E-2</v>
      </c>
    </row>
    <row r="62" spans="1:21" x14ac:dyDescent="0.35">
      <c r="A62">
        <v>59</v>
      </c>
      <c r="B62">
        <v>113</v>
      </c>
      <c r="D62" s="4">
        <v>0</v>
      </c>
      <c r="E62" s="4">
        <v>0</v>
      </c>
      <c r="F62" s="4">
        <f t="shared" si="12"/>
        <v>306934.14553017874</v>
      </c>
      <c r="G62" s="4">
        <f t="shared" si="13"/>
        <v>6445617.0561337536</v>
      </c>
      <c r="H62">
        <f t="shared" si="14"/>
        <v>-66</v>
      </c>
      <c r="I62" s="4">
        <f t="shared" si="0"/>
        <v>0</v>
      </c>
      <c r="J62" s="4">
        <f t="shared" si="4"/>
        <v>1367227.442188696</v>
      </c>
      <c r="K62" s="4">
        <f t="shared" si="1"/>
        <v>7505910.3527922705</v>
      </c>
      <c r="L62" s="4">
        <f t="shared" si="5"/>
        <v>0</v>
      </c>
      <c r="M62" s="4">
        <f t="shared" si="6"/>
        <v>82033.646531321763</v>
      </c>
      <c r="N62" s="4">
        <f t="shared" si="7"/>
        <v>0</v>
      </c>
      <c r="O62" s="4">
        <f t="shared" si="8"/>
        <v>368320.97463621444</v>
      </c>
      <c r="P62" s="4">
        <f t="shared" si="2"/>
        <v>7956264.9739598073</v>
      </c>
      <c r="Q62" s="4">
        <f t="shared" si="3"/>
        <v>1510647.9178260537</v>
      </c>
      <c r="R62" s="8">
        <f t="shared" si="9"/>
        <v>9.9999999999999933E-3</v>
      </c>
      <c r="S62" s="6">
        <f t="shared" si="10"/>
        <v>9.9999999999999933E-3</v>
      </c>
      <c r="U62" s="6">
        <v>9.0564304551696839E-2</v>
      </c>
    </row>
    <row r="63" spans="1:21" x14ac:dyDescent="0.35">
      <c r="A63">
        <v>60</v>
      </c>
      <c r="B63">
        <v>114</v>
      </c>
      <c r="D63" s="4">
        <v>0</v>
      </c>
      <c r="E63" s="4">
        <v>0</v>
      </c>
      <c r="F63" s="4">
        <f t="shared" si="12"/>
        <v>322280.8528066877</v>
      </c>
      <c r="G63" s="4">
        <f t="shared" si="13"/>
        <v>6767897.908940441</v>
      </c>
      <c r="H63">
        <f t="shared" si="14"/>
        <v>-66</v>
      </c>
      <c r="I63" s="4">
        <f t="shared" si="0"/>
        <v>0</v>
      </c>
      <c r="J63" s="4">
        <f t="shared" si="4"/>
        <v>1510581.9178260537</v>
      </c>
      <c r="K63" s="4">
        <f t="shared" si="1"/>
        <v>7956198.9739598073</v>
      </c>
      <c r="L63" s="4">
        <f t="shared" si="5"/>
        <v>0</v>
      </c>
      <c r="M63" s="4">
        <f t="shared" si="6"/>
        <v>90634.915069563212</v>
      </c>
      <c r="N63" s="4">
        <f t="shared" si="7"/>
        <v>0</v>
      </c>
      <c r="O63" s="4">
        <f t="shared" si="8"/>
        <v>386737.0233680252</v>
      </c>
      <c r="P63" s="4">
        <f t="shared" si="2"/>
        <v>8433570.9123973958</v>
      </c>
      <c r="Q63" s="4">
        <f t="shared" si="3"/>
        <v>1665673.0034569548</v>
      </c>
      <c r="R63" s="8">
        <f t="shared" si="9"/>
        <v>9.9999999999999933E-3</v>
      </c>
      <c r="S63" s="6">
        <f t="shared" si="10"/>
        <v>9.9999999999999933E-3</v>
      </c>
      <c r="U63" s="6">
        <v>9.084876668333508E-2</v>
      </c>
    </row>
    <row r="64" spans="1:21" x14ac:dyDescent="0.35">
      <c r="A64">
        <v>61</v>
      </c>
      <c r="B64">
        <v>115</v>
      </c>
      <c r="D64" s="4">
        <v>0</v>
      </c>
      <c r="E64" s="4">
        <v>0</v>
      </c>
      <c r="F64" s="4">
        <f t="shared" si="12"/>
        <v>338394.89544702205</v>
      </c>
      <c r="G64" s="4">
        <f t="shared" si="13"/>
        <v>7106292.8043874633</v>
      </c>
      <c r="H64">
        <f t="shared" si="14"/>
        <v>-66</v>
      </c>
      <c r="I64" s="4">
        <f t="shared" si="0"/>
        <v>0</v>
      </c>
      <c r="J64" s="4">
        <f t="shared" si="4"/>
        <v>1665607.0034569548</v>
      </c>
      <c r="K64" s="4">
        <f t="shared" si="1"/>
        <v>8433504.9123973958</v>
      </c>
      <c r="L64" s="4">
        <f t="shared" si="5"/>
        <v>0</v>
      </c>
      <c r="M64" s="4">
        <f t="shared" si="6"/>
        <v>99936.420207417294</v>
      </c>
      <c r="N64" s="4">
        <f t="shared" si="7"/>
        <v>0</v>
      </c>
      <c r="O64" s="4">
        <f t="shared" si="8"/>
        <v>406073.87453642645</v>
      </c>
      <c r="P64" s="4">
        <f t="shared" si="2"/>
        <v>8939515.2071412392</v>
      </c>
      <c r="Q64" s="4">
        <f t="shared" si="3"/>
        <v>1833222.4027537759</v>
      </c>
      <c r="R64" s="8">
        <f t="shared" si="9"/>
        <v>9.9999999999999985E-3</v>
      </c>
      <c r="S64" s="6">
        <f t="shared" si="10"/>
        <v>9.9999999999999985E-3</v>
      </c>
      <c r="U64" s="6">
        <v>9.1114851411005615E-2</v>
      </c>
    </row>
    <row r="65" spans="1:89" x14ac:dyDescent="0.35">
      <c r="A65">
        <v>62</v>
      </c>
      <c r="B65">
        <v>116</v>
      </c>
      <c r="D65" s="4">
        <v>0</v>
      </c>
      <c r="E65" s="4">
        <v>0</v>
      </c>
      <c r="F65" s="4">
        <f t="shared" si="12"/>
        <v>355314.64021937316</v>
      </c>
      <c r="G65" s="4">
        <f t="shared" si="13"/>
        <v>7461607.4446068369</v>
      </c>
      <c r="H65">
        <f t="shared" si="14"/>
        <v>-66</v>
      </c>
      <c r="I65" s="4">
        <f t="shared" si="0"/>
        <v>0</v>
      </c>
      <c r="J65" s="4">
        <f t="shared" si="4"/>
        <v>1833156.4027537759</v>
      </c>
      <c r="K65" s="4">
        <f t="shared" si="1"/>
        <v>8939449.2071412392</v>
      </c>
      <c r="L65" s="4">
        <f t="shared" si="5"/>
        <v>0</v>
      </c>
      <c r="M65" s="4">
        <f t="shared" si="6"/>
        <v>109989.38416522655</v>
      </c>
      <c r="N65" s="4">
        <f t="shared" si="7"/>
        <v>0</v>
      </c>
      <c r="O65" s="4">
        <f t="shared" si="8"/>
        <v>426377.56826324778</v>
      </c>
      <c r="P65" s="4">
        <f t="shared" si="2"/>
        <v>9475816.1595697142</v>
      </c>
      <c r="Q65" s="4">
        <f t="shared" si="3"/>
        <v>2014208.7149628773</v>
      </c>
      <c r="R65" s="8">
        <f t="shared" si="9"/>
        <v>9.9999999999999985E-3</v>
      </c>
      <c r="S65" s="6">
        <f t="shared" si="10"/>
        <v>9.9999999999999985E-3</v>
      </c>
      <c r="U65" s="6">
        <v>9.1363868192338771E-2</v>
      </c>
    </row>
    <row r="66" spans="1:89" x14ac:dyDescent="0.35">
      <c r="A66">
        <v>63</v>
      </c>
      <c r="B66">
        <v>117</v>
      </c>
      <c r="D66" s="4">
        <v>0</v>
      </c>
      <c r="E66" s="4">
        <v>0</v>
      </c>
      <c r="F66" s="4">
        <f t="shared" si="12"/>
        <v>373080.37223034189</v>
      </c>
      <c r="G66" s="4">
        <f t="shared" si="13"/>
        <v>7834687.8168371785</v>
      </c>
      <c r="H66">
        <f t="shared" si="14"/>
        <v>-66</v>
      </c>
      <c r="I66" s="4">
        <f t="shared" si="0"/>
        <v>0</v>
      </c>
      <c r="J66" s="4">
        <f t="shared" si="4"/>
        <v>2014142.7149628773</v>
      </c>
      <c r="K66" s="4">
        <f t="shared" si="1"/>
        <v>9475750.1595697142</v>
      </c>
      <c r="L66" s="4">
        <f t="shared" si="5"/>
        <v>0</v>
      </c>
      <c r="M66" s="4">
        <f t="shared" si="6"/>
        <v>120848.56289777263</v>
      </c>
      <c r="N66" s="4">
        <f t="shared" si="7"/>
        <v>0</v>
      </c>
      <c r="O66" s="4">
        <f t="shared" si="8"/>
        <v>447696.44667641021</v>
      </c>
      <c r="P66" s="4">
        <f t="shared" si="2"/>
        <v>10044295.169143898</v>
      </c>
      <c r="Q66" s="4">
        <f t="shared" si="3"/>
        <v>2209607.3523067199</v>
      </c>
      <c r="R66" s="8">
        <f t="shared" si="9"/>
        <v>9.9999999999999933E-3</v>
      </c>
      <c r="S66" s="6">
        <f t="shared" si="10"/>
        <v>9.9999999999999933E-3</v>
      </c>
      <c r="U66" s="6">
        <v>9.1597020287300213E-2</v>
      </c>
    </row>
    <row r="67" spans="1:89" x14ac:dyDescent="0.35">
      <c r="A67">
        <v>64</v>
      </c>
      <c r="B67">
        <v>118</v>
      </c>
      <c r="D67" s="4">
        <v>0</v>
      </c>
      <c r="E67" s="4">
        <v>0</v>
      </c>
      <c r="F67" s="4">
        <f t="shared" si="12"/>
        <v>391734.39084185893</v>
      </c>
      <c r="G67" s="4">
        <f t="shared" si="13"/>
        <v>8226422.207679037</v>
      </c>
      <c r="H67">
        <f t="shared" si="14"/>
        <v>-66</v>
      </c>
      <c r="I67" s="4">
        <f t="shared" si="0"/>
        <v>0</v>
      </c>
      <c r="J67" s="4">
        <f t="shared" si="4"/>
        <v>2209541.3523067199</v>
      </c>
      <c r="K67" s="4">
        <f t="shared" si="1"/>
        <v>10044229.169143898</v>
      </c>
      <c r="L67" s="4">
        <f t="shared" si="5"/>
        <v>0</v>
      </c>
      <c r="M67" s="4">
        <f t="shared" si="6"/>
        <v>132572.48113840318</v>
      </c>
      <c r="N67" s="4">
        <f t="shared" si="7"/>
        <v>0</v>
      </c>
      <c r="O67" s="4">
        <f t="shared" si="8"/>
        <v>470081.26901023072</v>
      </c>
      <c r="P67" s="4">
        <f t="shared" si="2"/>
        <v>10646882.919292532</v>
      </c>
      <c r="Q67" s="4">
        <f t="shared" si="3"/>
        <v>2420460.7116134949</v>
      </c>
      <c r="R67" s="8">
        <f t="shared" si="9"/>
        <v>1.0000000000000002E-2</v>
      </c>
      <c r="S67" s="6">
        <f t="shared" si="10"/>
        <v>1.0000000000000002E-2</v>
      </c>
      <c r="U67" s="6">
        <v>9.1815414538749751E-2</v>
      </c>
    </row>
    <row r="68" spans="1:89" x14ac:dyDescent="0.35">
      <c r="A68">
        <v>65</v>
      </c>
      <c r="B68">
        <v>119</v>
      </c>
      <c r="D68" s="4">
        <v>0</v>
      </c>
      <c r="E68" s="4">
        <v>0</v>
      </c>
      <c r="F68" s="4">
        <f t="shared" si="12"/>
        <v>411321.11038395186</v>
      </c>
      <c r="G68" s="4">
        <f t="shared" si="13"/>
        <v>8637743.318062989</v>
      </c>
      <c r="H68">
        <f t="shared" si="14"/>
        <v>-66</v>
      </c>
      <c r="I68" s="4">
        <f t="shared" si="0"/>
        <v>0</v>
      </c>
      <c r="J68" s="4">
        <f t="shared" si="4"/>
        <v>2420394.7116134949</v>
      </c>
      <c r="K68" s="4">
        <f t="shared" si="1"/>
        <v>10646816.919292532</v>
      </c>
      <c r="L68" s="4">
        <f t="shared" si="5"/>
        <v>0</v>
      </c>
      <c r="M68" s="4">
        <f t="shared" si="6"/>
        <v>145223.6826968097</v>
      </c>
      <c r="N68" s="4">
        <f t="shared" si="7"/>
        <v>0</v>
      </c>
      <c r="O68" s="4">
        <f t="shared" si="8"/>
        <v>493585.33246074221</v>
      </c>
      <c r="P68" s="4">
        <f t="shared" si="2"/>
        <v>11285625.934450084</v>
      </c>
      <c r="Q68" s="4">
        <f t="shared" si="3"/>
        <v>2647882.6163870953</v>
      </c>
      <c r="R68" s="8">
        <f t="shared" si="9"/>
        <v>9.9999999999999967E-3</v>
      </c>
      <c r="S68" s="6">
        <f t="shared" si="10"/>
        <v>9.9999999999999967E-3</v>
      </c>
      <c r="U68" s="6">
        <v>9.2020070151206612E-2</v>
      </c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</row>
    <row r="69" spans="1:89" x14ac:dyDescent="0.35">
      <c r="A69">
        <v>66</v>
      </c>
      <c r="B69">
        <v>120</v>
      </c>
      <c r="D69" s="4">
        <v>0</v>
      </c>
      <c r="E69" s="4">
        <v>0</v>
      </c>
      <c r="F69" s="4">
        <f t="shared" si="12"/>
        <v>431887.16590314946</v>
      </c>
      <c r="G69" s="4">
        <f t="shared" si="13"/>
        <v>9069630.4839661382</v>
      </c>
      <c r="H69">
        <f t="shared" si="14"/>
        <v>-66</v>
      </c>
      <c r="I69" s="4">
        <f t="shared" ref="I69" si="15">-(D69+P68)*$I$2</f>
        <v>0</v>
      </c>
      <c r="J69" s="4">
        <f t="shared" si="4"/>
        <v>2647816.6163870953</v>
      </c>
      <c r="K69" s="4">
        <f t="shared" ref="K69" si="16">D69+H69+I69+P68</f>
        <v>11285559.934450084</v>
      </c>
      <c r="L69" s="4">
        <f t="shared" si="5"/>
        <v>0</v>
      </c>
      <c r="M69" s="4">
        <f t="shared" si="6"/>
        <v>158868.99698322572</v>
      </c>
      <c r="N69" s="4">
        <f t="shared" si="7"/>
        <v>0</v>
      </c>
      <c r="O69" s="4">
        <f t="shared" si="8"/>
        <v>518264.59908377932</v>
      </c>
      <c r="P69" s="4">
        <f t="shared" ref="P69" si="17">K69+L69+M69+O69+N69</f>
        <v>11962693.53051709</v>
      </c>
      <c r="Q69" s="4">
        <f t="shared" ref="Q69" si="18">P69-G69</f>
        <v>2893063.0465509519</v>
      </c>
      <c r="R69" s="8">
        <f t="shared" si="9"/>
        <v>9.9999999999999967E-3</v>
      </c>
      <c r="S69" s="6">
        <f t="shared" si="10"/>
        <v>9.9999999999999967E-3</v>
      </c>
      <c r="U69" s="6">
        <v>9.2211926578776859E-2</v>
      </c>
      <c r="V69" s="10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9"/>
      <c r="BO69" s="9"/>
      <c r="BP69" s="9"/>
      <c r="BQ69" s="9"/>
      <c r="BR69" s="9"/>
      <c r="BS69" s="9"/>
      <c r="BT69" s="9"/>
      <c r="BU69" s="9"/>
      <c r="BV69" s="9"/>
      <c r="BW69" s="9"/>
      <c r="BX69" s="9"/>
      <c r="BY69" s="9"/>
      <c r="BZ69" s="9"/>
      <c r="CA69" s="9"/>
      <c r="CB69" s="9"/>
      <c r="CC69" s="9"/>
      <c r="CD69" s="9"/>
      <c r="CE69" s="9"/>
      <c r="CF69" s="9"/>
      <c r="CG69" s="9"/>
      <c r="CH69" s="9"/>
      <c r="CI69" s="9"/>
      <c r="CJ69" s="9"/>
      <c r="CK69" s="9"/>
    </row>
    <row r="70" spans="1:89" x14ac:dyDescent="0.35">
      <c r="U70" s="6">
        <v>-1</v>
      </c>
    </row>
    <row r="71" spans="1:89" x14ac:dyDescent="0.35">
      <c r="J71" s="4">
        <f>IF(MIN(J4:J69)&lt;0,1,0)</f>
        <v>0</v>
      </c>
      <c r="Q71" s="4">
        <f>IF(MIN(Q4:Q69)&lt;0,1,0)</f>
        <v>0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85D078-C0D9-4104-B0DB-6B13A1567A78}">
  <dimension ref="A1:CK71"/>
  <sheetViews>
    <sheetView zoomScale="60" zoomScaleNormal="60" workbookViewId="0">
      <selection activeCell="E64" sqref="E64"/>
    </sheetView>
  </sheetViews>
  <sheetFormatPr defaultRowHeight="14.5" x14ac:dyDescent="0.35"/>
  <cols>
    <col min="3" max="3" width="3.26953125" customWidth="1"/>
    <col min="4" max="4" width="15.7265625" bestFit="1" customWidth="1"/>
    <col min="5" max="5" width="19.81640625" bestFit="1" customWidth="1"/>
    <col min="6" max="6" width="17.54296875" bestFit="1" customWidth="1"/>
    <col min="7" max="7" width="17.7265625" bestFit="1" customWidth="1"/>
    <col min="8" max="8" width="16" bestFit="1" customWidth="1"/>
    <col min="9" max="9" width="21.26953125" bestFit="1" customWidth="1"/>
    <col min="10" max="10" width="21.26953125" customWidth="1"/>
    <col min="11" max="11" width="51.54296875" customWidth="1"/>
    <col min="12" max="12" width="29.1796875" bestFit="1" customWidth="1"/>
    <col min="13" max="13" width="24.81640625" bestFit="1" customWidth="1"/>
    <col min="14" max="14" width="37.54296875" bestFit="1" customWidth="1"/>
    <col min="15" max="15" width="27.81640625" bestFit="1" customWidth="1"/>
    <col min="16" max="16" width="15.26953125" bestFit="1" customWidth="1"/>
    <col min="17" max="17" width="15.26953125" customWidth="1"/>
    <col min="18" max="18" width="26.26953125" customWidth="1"/>
    <col min="19" max="19" width="44.7265625" bestFit="1" customWidth="1"/>
    <col min="23" max="23" width="19.1796875" bestFit="1" customWidth="1"/>
    <col min="24" max="24" width="14.7265625" bestFit="1" customWidth="1"/>
    <col min="89" max="89" width="10.7265625" bestFit="1" customWidth="1"/>
  </cols>
  <sheetData>
    <row r="1" spans="1:23" x14ac:dyDescent="0.35">
      <c r="F1" t="s">
        <v>0</v>
      </c>
      <c r="I1" t="s">
        <v>1</v>
      </c>
      <c r="L1" t="s">
        <v>40</v>
      </c>
      <c r="M1" t="s">
        <v>2</v>
      </c>
      <c r="N1" t="s">
        <v>3</v>
      </c>
      <c r="O1" s="1" t="s">
        <v>29</v>
      </c>
      <c r="S1" t="s">
        <v>5</v>
      </c>
    </row>
    <row r="2" spans="1:23" x14ac:dyDescent="0.35">
      <c r="F2" s="2">
        <v>0.05</v>
      </c>
      <c r="I2" s="3">
        <v>0</v>
      </c>
      <c r="J2" s="3"/>
      <c r="L2" s="11">
        <v>5.0000000000000001E-3</v>
      </c>
      <c r="M2" s="3">
        <v>0.06</v>
      </c>
      <c r="N2" s="2" t="s">
        <v>41</v>
      </c>
      <c r="O2" s="1">
        <v>0</v>
      </c>
      <c r="P2" t="s">
        <v>6</v>
      </c>
      <c r="Q2">
        <v>1</v>
      </c>
      <c r="S2" t="s">
        <v>7</v>
      </c>
      <c r="U2" t="s">
        <v>8</v>
      </c>
    </row>
    <row r="3" spans="1:23" x14ac:dyDescent="0.35">
      <c r="A3" t="s">
        <v>9</v>
      </c>
      <c r="B3" t="s">
        <v>10</v>
      </c>
      <c r="D3" t="s">
        <v>11</v>
      </c>
      <c r="E3" t="s">
        <v>12</v>
      </c>
      <c r="F3" t="s">
        <v>13</v>
      </c>
      <c r="G3" t="s">
        <v>14</v>
      </c>
      <c r="H3" t="s">
        <v>15</v>
      </c>
      <c r="I3" t="s">
        <v>16</v>
      </c>
      <c r="J3" t="s">
        <v>17</v>
      </c>
      <c r="K3" t="s">
        <v>18</v>
      </c>
      <c r="L3" t="s">
        <v>19</v>
      </c>
      <c r="M3" t="s">
        <v>20</v>
      </c>
      <c r="N3" t="s">
        <v>21</v>
      </c>
      <c r="O3" t="s">
        <v>22</v>
      </c>
      <c r="P3" t="s">
        <v>23</v>
      </c>
      <c r="Q3" t="s">
        <v>24</v>
      </c>
      <c r="R3" t="s">
        <v>25</v>
      </c>
      <c r="S3" t="s">
        <v>26</v>
      </c>
      <c r="U3" t="s">
        <v>27</v>
      </c>
    </row>
    <row r="4" spans="1:23" x14ac:dyDescent="0.35">
      <c r="A4">
        <v>1</v>
      </c>
      <c r="B4">
        <v>55</v>
      </c>
      <c r="D4" s="4">
        <v>35000</v>
      </c>
      <c r="E4" s="4">
        <v>0</v>
      </c>
      <c r="F4" s="4">
        <v>0</v>
      </c>
      <c r="G4" s="4">
        <v>0</v>
      </c>
      <c r="H4">
        <f>-6365*(1.1)</f>
        <v>-7001.5000000000009</v>
      </c>
      <c r="I4" s="4">
        <f>-D4*$I$2</f>
        <v>0</v>
      </c>
      <c r="J4" s="4">
        <f>D4+H4</f>
        <v>27998.5</v>
      </c>
      <c r="K4" s="4">
        <f>D4+H4+I4</f>
        <v>27998.5</v>
      </c>
      <c r="L4" s="4">
        <f>(K4-G4)*IF(A4&lt;$Q$2,0,IF($O$2=1,$M$2,1)*$L$2)</f>
        <v>139.99250000000001</v>
      </c>
      <c r="M4" s="4">
        <f>MAX(0,(K4-G4))*$M$2</f>
        <v>1679.9099999999999</v>
      </c>
      <c r="N4" s="4"/>
      <c r="O4" s="4"/>
      <c r="P4" s="4">
        <f>K4+L4+M4+O4+N4</f>
        <v>29818.4025</v>
      </c>
      <c r="Q4" s="4">
        <f>P4-G4</f>
        <v>29818.4025</v>
      </c>
      <c r="R4" s="4"/>
      <c r="S4" s="6"/>
      <c r="U4">
        <v>-0.14804564285714283</v>
      </c>
    </row>
    <row r="5" spans="1:23" x14ac:dyDescent="0.35">
      <c r="A5">
        <v>2</v>
      </c>
      <c r="B5">
        <v>56</v>
      </c>
      <c r="D5" s="4">
        <v>35000</v>
      </c>
      <c r="E5" s="4">
        <v>0</v>
      </c>
      <c r="F5" s="4">
        <v>0</v>
      </c>
      <c r="G5" s="4">
        <v>0</v>
      </c>
      <c r="H5">
        <f>-6515*(1.1)</f>
        <v>-7166.5000000000009</v>
      </c>
      <c r="I5" s="4">
        <f t="shared" ref="I5:I68" si="0">-(D5+P4)*$I$2</f>
        <v>0</v>
      </c>
      <c r="J5" s="4">
        <f>D5-E5-G4+H5+I5+P4</f>
        <v>57651.902499999997</v>
      </c>
      <c r="K5" s="4">
        <f t="shared" ref="K5:K68" si="1">D5+H5+I5+P4</f>
        <v>57651.902499999997</v>
      </c>
      <c r="L5" s="4">
        <f>(K5-G5+F5)*IF(A5&lt;$Q$2,0,IF($O$2=1,$M$2,1)*$L$2)</f>
        <v>288.25951249999997</v>
      </c>
      <c r="M5" s="4">
        <f>MAX((K5-G4-E5),0)*$M$2</f>
        <v>3459.1141499999999</v>
      </c>
      <c r="N5" s="4">
        <f>IF($O$1="Yes",0,(G4+E5)*IF(A5&lt;$Q$2,0,IF($O$2=1,$M$2,1)*$L$2))</f>
        <v>0</v>
      </c>
      <c r="O5" s="4">
        <f>(G4+E5)*$M$2</f>
        <v>0</v>
      </c>
      <c r="P5" s="4">
        <f t="shared" ref="P5:P68" si="2">K5+L5+M5+O5+N5</f>
        <v>61399.276162499998</v>
      </c>
      <c r="Q5" s="4">
        <f t="shared" ref="Q5:Q68" si="3">P5-G5</f>
        <v>61399.276162499998</v>
      </c>
      <c r="R5" s="7" t="e">
        <f>(O5-F5)/(G4+E5)</f>
        <v>#DIV/0!</v>
      </c>
      <c r="S5" s="6" t="e">
        <f>(N5+O5-F5)/(G4+E5)</f>
        <v>#DIV/0!</v>
      </c>
      <c r="U5">
        <v>-8.427932335307875E-2</v>
      </c>
      <c r="W5">
        <f>1.1</f>
        <v>1.1000000000000001</v>
      </c>
    </row>
    <row r="6" spans="1:23" x14ac:dyDescent="0.35">
      <c r="A6">
        <v>3</v>
      </c>
      <c r="B6">
        <v>57</v>
      </c>
      <c r="D6" s="4">
        <v>35000</v>
      </c>
      <c r="E6" s="4">
        <v>0</v>
      </c>
      <c r="F6" s="4">
        <v>0</v>
      </c>
      <c r="G6" s="4">
        <v>0</v>
      </c>
      <c r="H6">
        <f>-6684*(1.1)</f>
        <v>-7352.4000000000005</v>
      </c>
      <c r="I6" s="4">
        <f t="shared" si="0"/>
        <v>0</v>
      </c>
      <c r="J6" s="4">
        <f t="shared" ref="J6:J69" si="4">D6-E6-G5+H6+I6+P5</f>
        <v>89046.876162500004</v>
      </c>
      <c r="K6" s="4">
        <f t="shared" si="1"/>
        <v>89046.876162500004</v>
      </c>
      <c r="L6" s="4">
        <f t="shared" ref="L6:L69" si="5">(K6-G6+F6)*IF(A6&lt;$Q$2,0,IF($O$2=1,$M$2,1)*$L$2)</f>
        <v>445.23438081250004</v>
      </c>
      <c r="M6" s="4">
        <f t="shared" ref="M6:M69" si="6">MAX((K6-G5-E6),0)*$M$2</f>
        <v>5342.81256975</v>
      </c>
      <c r="N6" s="4">
        <f>IF($O$1="Yes",0,(G5+E6)*IF(A6&lt;$Q$2,0,IF($O$2=1,$M$2,1)*$L$2))</f>
        <v>0</v>
      </c>
      <c r="O6" s="4">
        <f t="shared" ref="O6:O69" si="7">(G5+E6)*$M$2</f>
        <v>0</v>
      </c>
      <c r="P6" s="4">
        <f t="shared" si="2"/>
        <v>94834.923113062512</v>
      </c>
      <c r="Q6" s="4">
        <f t="shared" si="3"/>
        <v>94834.923113062512</v>
      </c>
      <c r="R6" s="7" t="e">
        <f t="shared" ref="R6:R69" si="8">(O6-F6)/(G5+E6)</f>
        <v>#DIV/0!</v>
      </c>
      <c r="S6" s="6" t="e">
        <f t="shared" ref="S6:S69" si="9">(N6+O6-F6)/(G5+E6)</f>
        <v>#DIV/0!</v>
      </c>
      <c r="U6" s="6">
        <v>-5.005453054294251E-2</v>
      </c>
    </row>
    <row r="7" spans="1:23" x14ac:dyDescent="0.35">
      <c r="A7">
        <v>4</v>
      </c>
      <c r="B7">
        <v>58</v>
      </c>
      <c r="D7" s="4">
        <v>35000</v>
      </c>
      <c r="E7" s="4">
        <v>0</v>
      </c>
      <c r="F7" s="4">
        <v>0</v>
      </c>
      <c r="G7" s="4">
        <v>0</v>
      </c>
      <c r="H7">
        <f>-6870*(1.1)</f>
        <v>-7557.0000000000009</v>
      </c>
      <c r="I7" s="4">
        <f t="shared" si="0"/>
        <v>0</v>
      </c>
      <c r="J7" s="4">
        <f t="shared" si="4"/>
        <v>122277.92311306251</v>
      </c>
      <c r="K7" s="4">
        <f t="shared" si="1"/>
        <v>122277.92311306251</v>
      </c>
      <c r="L7" s="4">
        <f t="shared" si="5"/>
        <v>611.38961556531262</v>
      </c>
      <c r="M7" s="4">
        <f t="shared" si="6"/>
        <v>7336.6753867837506</v>
      </c>
      <c r="N7" s="4">
        <f t="shared" ref="N7:N69" si="10">IF($O$1="Yes",0,(G6+E7)*IF(A7&lt;$Q$2,0,IF($O$2=1,$M$2,1)*$L$2))</f>
        <v>0</v>
      </c>
      <c r="O7" s="4">
        <f t="shared" si="7"/>
        <v>0</v>
      </c>
      <c r="P7" s="4">
        <f t="shared" si="2"/>
        <v>130225.98811541157</v>
      </c>
      <c r="Q7" s="4">
        <f t="shared" si="3"/>
        <v>130225.98811541157</v>
      </c>
      <c r="R7" s="7" t="e">
        <f t="shared" si="8"/>
        <v>#DIV/0!</v>
      </c>
      <c r="S7" s="6" t="e">
        <f t="shared" si="9"/>
        <v>#DIV/0!</v>
      </c>
      <c r="U7" s="6">
        <v>-2.8739930775548039E-2</v>
      </c>
    </row>
    <row r="8" spans="1:23" x14ac:dyDescent="0.35">
      <c r="A8">
        <v>5</v>
      </c>
      <c r="B8">
        <v>59</v>
      </c>
      <c r="D8" s="4">
        <v>35000</v>
      </c>
      <c r="E8" s="4">
        <v>0</v>
      </c>
      <c r="F8" s="4">
        <v>0</v>
      </c>
      <c r="G8" s="4">
        <v>0</v>
      </c>
      <c r="H8">
        <f>-7081*(1.1)</f>
        <v>-7789.1</v>
      </c>
      <c r="I8" s="4">
        <f t="shared" si="0"/>
        <v>0</v>
      </c>
      <c r="J8" s="4">
        <f t="shared" si="4"/>
        <v>157436.88811541157</v>
      </c>
      <c r="K8" s="4">
        <f t="shared" si="1"/>
        <v>157436.88811541157</v>
      </c>
      <c r="L8" s="4">
        <f t="shared" si="5"/>
        <v>787.1844405770579</v>
      </c>
      <c r="M8" s="4">
        <f t="shared" si="6"/>
        <v>9446.2132869246943</v>
      </c>
      <c r="N8" s="4">
        <f t="shared" si="10"/>
        <v>0</v>
      </c>
      <c r="O8" s="4">
        <f t="shared" si="7"/>
        <v>0</v>
      </c>
      <c r="P8" s="4">
        <f t="shared" si="2"/>
        <v>167670.28584291332</v>
      </c>
      <c r="Q8" s="4">
        <f t="shared" si="3"/>
        <v>167670.28584291332</v>
      </c>
      <c r="R8" s="7" t="e">
        <f t="shared" si="8"/>
        <v>#DIV/0!</v>
      </c>
      <c r="S8" s="6" t="e">
        <f t="shared" si="9"/>
        <v>#DIV/0!</v>
      </c>
      <c r="U8" s="6">
        <v>-1.422842706668126E-2</v>
      </c>
    </row>
    <row r="9" spans="1:23" x14ac:dyDescent="0.35">
      <c r="A9">
        <v>6</v>
      </c>
      <c r="B9">
        <v>60</v>
      </c>
      <c r="D9" s="4">
        <v>35000</v>
      </c>
      <c r="E9" s="4">
        <v>0</v>
      </c>
      <c r="F9" s="4">
        <v>0</v>
      </c>
      <c r="G9" s="4">
        <v>0</v>
      </c>
      <c r="H9">
        <f>-7321*(1.1)</f>
        <v>-8053.1</v>
      </c>
      <c r="I9" s="4">
        <f t="shared" si="0"/>
        <v>0</v>
      </c>
      <c r="J9" s="4">
        <f t="shared" si="4"/>
        <v>194617.18584291331</v>
      </c>
      <c r="K9" s="4">
        <f t="shared" si="1"/>
        <v>194617.18584291331</v>
      </c>
      <c r="L9" s="4">
        <f t="shared" si="5"/>
        <v>973.08592921456659</v>
      </c>
      <c r="M9" s="4">
        <f t="shared" si="6"/>
        <v>11677.031150574798</v>
      </c>
      <c r="N9" s="4">
        <f t="shared" si="10"/>
        <v>0</v>
      </c>
      <c r="O9" s="4">
        <f t="shared" si="7"/>
        <v>0</v>
      </c>
      <c r="P9" s="4">
        <f t="shared" si="2"/>
        <v>207267.30292270269</v>
      </c>
      <c r="Q9" s="4">
        <f t="shared" si="3"/>
        <v>207267.30292270269</v>
      </c>
      <c r="R9" s="7" t="e">
        <f t="shared" si="8"/>
        <v>#DIV/0!</v>
      </c>
      <c r="S9" s="6" t="e">
        <f t="shared" si="9"/>
        <v>#DIV/0!</v>
      </c>
      <c r="U9" s="6">
        <v>-3.741195736755798E-3</v>
      </c>
    </row>
    <row r="10" spans="1:23" x14ac:dyDescent="0.35">
      <c r="A10">
        <v>7</v>
      </c>
      <c r="B10">
        <v>61</v>
      </c>
      <c r="D10" s="4">
        <v>35000</v>
      </c>
      <c r="E10" s="4">
        <v>0</v>
      </c>
      <c r="F10" s="4">
        <v>0</v>
      </c>
      <c r="G10" s="4">
        <v>0</v>
      </c>
      <c r="H10">
        <f>-7598*(1.1)</f>
        <v>-8357.8000000000011</v>
      </c>
      <c r="I10" s="4">
        <f t="shared" si="0"/>
        <v>0</v>
      </c>
      <c r="J10" s="4">
        <f t="shared" si="4"/>
        <v>233909.5029227027</v>
      </c>
      <c r="K10" s="4">
        <f t="shared" si="1"/>
        <v>233909.5029227027</v>
      </c>
      <c r="L10" s="4">
        <f t="shared" si="5"/>
        <v>1169.5475146135136</v>
      </c>
      <c r="M10" s="4">
        <f t="shared" si="6"/>
        <v>14034.570175362162</v>
      </c>
      <c r="N10" s="4">
        <f t="shared" si="10"/>
        <v>0</v>
      </c>
      <c r="O10" s="4">
        <f t="shared" si="7"/>
        <v>0</v>
      </c>
      <c r="P10" s="4">
        <f t="shared" si="2"/>
        <v>249113.62061267838</v>
      </c>
      <c r="Q10" s="4">
        <f t="shared" si="3"/>
        <v>249113.62061267838</v>
      </c>
      <c r="R10" s="7" t="e">
        <f t="shared" si="8"/>
        <v>#DIV/0!</v>
      </c>
      <c r="S10" s="6" t="e">
        <f t="shared" si="9"/>
        <v>#DIV/0!</v>
      </c>
      <c r="U10" s="6">
        <v>4.1627343904311331E-3</v>
      </c>
    </row>
    <row r="11" spans="1:23" x14ac:dyDescent="0.35">
      <c r="A11">
        <v>8</v>
      </c>
      <c r="B11">
        <v>62</v>
      </c>
      <c r="D11" s="4">
        <v>35000</v>
      </c>
      <c r="E11" s="4">
        <v>0</v>
      </c>
      <c r="F11" s="4">
        <v>0</v>
      </c>
      <c r="G11" s="4">
        <v>0</v>
      </c>
      <c r="H11">
        <f>-7918*(1.1)</f>
        <v>-8709.8000000000011</v>
      </c>
      <c r="I11" s="4">
        <f t="shared" si="0"/>
        <v>0</v>
      </c>
      <c r="J11" s="4">
        <f t="shared" si="4"/>
        <v>275403.82061267836</v>
      </c>
      <c r="K11" s="4">
        <f t="shared" si="1"/>
        <v>275403.82061267836</v>
      </c>
      <c r="L11" s="4">
        <f t="shared" si="5"/>
        <v>1377.0191030633919</v>
      </c>
      <c r="M11" s="4">
        <f t="shared" si="6"/>
        <v>16524.229236760701</v>
      </c>
      <c r="N11" s="4">
        <f t="shared" si="10"/>
        <v>0</v>
      </c>
      <c r="O11" s="4">
        <f t="shared" si="7"/>
        <v>0</v>
      </c>
      <c r="P11" s="4">
        <f t="shared" si="2"/>
        <v>293305.06895250245</v>
      </c>
      <c r="Q11" s="4">
        <f t="shared" si="3"/>
        <v>293305.06895250245</v>
      </c>
      <c r="R11" s="7" t="e">
        <f t="shared" si="8"/>
        <v>#DIV/0!</v>
      </c>
      <c r="S11" s="6" t="e">
        <f t="shared" si="9"/>
        <v>#DIV/0!</v>
      </c>
      <c r="U11" s="6">
        <v>1.0307787754198827E-2</v>
      </c>
    </row>
    <row r="12" spans="1:23" x14ac:dyDescent="0.35">
      <c r="A12">
        <v>9</v>
      </c>
      <c r="B12">
        <v>63</v>
      </c>
      <c r="D12" s="4">
        <v>35000</v>
      </c>
      <c r="E12" s="4">
        <v>0</v>
      </c>
      <c r="F12" s="4">
        <v>0</v>
      </c>
      <c r="G12" s="4">
        <v>0</v>
      </c>
      <c r="H12">
        <f>-8273*(1.1)</f>
        <v>-9100.3000000000011</v>
      </c>
      <c r="I12" s="4">
        <f t="shared" si="0"/>
        <v>0</v>
      </c>
      <c r="J12" s="4">
        <f t="shared" si="4"/>
        <v>319204.76895250246</v>
      </c>
      <c r="K12" s="4">
        <f t="shared" si="1"/>
        <v>319204.76895250246</v>
      </c>
      <c r="L12" s="4">
        <f t="shared" si="5"/>
        <v>1596.0238447625125</v>
      </c>
      <c r="M12" s="4">
        <f t="shared" si="6"/>
        <v>19152.286137150146</v>
      </c>
      <c r="N12" s="4">
        <f t="shared" si="10"/>
        <v>0</v>
      </c>
      <c r="O12" s="4">
        <f t="shared" si="7"/>
        <v>0</v>
      </c>
      <c r="P12" s="4">
        <f t="shared" si="2"/>
        <v>339953.07893441513</v>
      </c>
      <c r="Q12" s="4">
        <f t="shared" si="3"/>
        <v>339953.07893441513</v>
      </c>
      <c r="R12" s="7" t="e">
        <f t="shared" si="8"/>
        <v>#DIV/0!</v>
      </c>
      <c r="S12" s="6" t="e">
        <f t="shared" si="9"/>
        <v>#DIV/0!</v>
      </c>
      <c r="U12" s="6">
        <v>1.5209615238059637E-2</v>
      </c>
    </row>
    <row r="13" spans="1:23" x14ac:dyDescent="0.35">
      <c r="A13">
        <v>10</v>
      </c>
      <c r="B13">
        <v>64</v>
      </c>
      <c r="D13" s="4">
        <v>35000</v>
      </c>
      <c r="E13" s="4">
        <v>0</v>
      </c>
      <c r="F13" s="4">
        <v>0</v>
      </c>
      <c r="G13" s="4">
        <v>0</v>
      </c>
      <c r="H13">
        <f>-8683*(1.1)</f>
        <v>-9551.3000000000011</v>
      </c>
      <c r="I13" s="4">
        <f t="shared" si="0"/>
        <v>0</v>
      </c>
      <c r="J13" s="4">
        <f t="shared" si="4"/>
        <v>365401.77893441514</v>
      </c>
      <c r="K13" s="4">
        <f t="shared" si="1"/>
        <v>365401.77893441514</v>
      </c>
      <c r="L13" s="4">
        <f t="shared" si="5"/>
        <v>1827.0088946720757</v>
      </c>
      <c r="M13" s="4">
        <f t="shared" si="6"/>
        <v>21924.106736064907</v>
      </c>
      <c r="N13" s="4">
        <f t="shared" si="10"/>
        <v>0</v>
      </c>
      <c r="O13" s="4">
        <f t="shared" si="7"/>
        <v>0</v>
      </c>
      <c r="P13" s="4">
        <f t="shared" si="2"/>
        <v>389152.89456515212</v>
      </c>
      <c r="Q13" s="4">
        <f t="shared" si="3"/>
        <v>389152.89456515212</v>
      </c>
      <c r="R13" s="7" t="e">
        <f t="shared" si="8"/>
        <v>#DIV/0!</v>
      </c>
      <c r="S13" s="6" t="e">
        <f t="shared" si="9"/>
        <v>#DIV/0!</v>
      </c>
      <c r="U13" s="6">
        <v>1.9190744563043927E-2</v>
      </c>
    </row>
    <row r="14" spans="1:23" x14ac:dyDescent="0.35">
      <c r="A14">
        <v>11</v>
      </c>
      <c r="B14">
        <v>65</v>
      </c>
      <c r="D14" s="4">
        <v>35000</v>
      </c>
      <c r="E14" s="4">
        <v>0</v>
      </c>
      <c r="F14" s="4">
        <v>0</v>
      </c>
      <c r="G14" s="4">
        <v>0</v>
      </c>
      <c r="H14">
        <f>-6270*(1.1)</f>
        <v>-6897.0000000000009</v>
      </c>
      <c r="I14" s="4">
        <f t="shared" si="0"/>
        <v>0</v>
      </c>
      <c r="J14" s="4">
        <f t="shared" si="4"/>
        <v>417255.89456515212</v>
      </c>
      <c r="K14" s="4">
        <f t="shared" si="1"/>
        <v>417255.89456515212</v>
      </c>
      <c r="L14" s="4">
        <f t="shared" si="5"/>
        <v>2086.2794728257604</v>
      </c>
      <c r="M14" s="4">
        <f t="shared" si="6"/>
        <v>25035.353673909125</v>
      </c>
      <c r="N14" s="4">
        <f t="shared" si="10"/>
        <v>0</v>
      </c>
      <c r="O14" s="4">
        <f t="shared" si="7"/>
        <v>0</v>
      </c>
      <c r="P14" s="4">
        <f t="shared" si="2"/>
        <v>444377.52771188703</v>
      </c>
      <c r="Q14" s="4">
        <f t="shared" si="3"/>
        <v>444377.52771188703</v>
      </c>
      <c r="R14" s="7" t="e">
        <f t="shared" si="8"/>
        <v>#DIV/0!</v>
      </c>
      <c r="S14" s="6" t="e">
        <f t="shared" si="9"/>
        <v>#DIV/0!</v>
      </c>
      <c r="U14" s="6">
        <v>2.3724350680097928E-2</v>
      </c>
    </row>
    <row r="15" spans="1:23" x14ac:dyDescent="0.35">
      <c r="A15">
        <v>12</v>
      </c>
      <c r="B15">
        <v>66</v>
      </c>
      <c r="D15" s="4">
        <v>35000</v>
      </c>
      <c r="E15" s="4">
        <v>0</v>
      </c>
      <c r="F15" s="4">
        <v>0</v>
      </c>
      <c r="G15" s="4">
        <v>0</v>
      </c>
      <c r="H15">
        <f>-6686*(1.1)</f>
        <v>-7354.6</v>
      </c>
      <c r="I15" s="4">
        <f t="shared" si="0"/>
        <v>0</v>
      </c>
      <c r="J15" s="4">
        <f t="shared" si="4"/>
        <v>472022.92771188705</v>
      </c>
      <c r="K15" s="4">
        <f t="shared" si="1"/>
        <v>472022.92771188705</v>
      </c>
      <c r="L15" s="4">
        <f t="shared" si="5"/>
        <v>2360.1146385594352</v>
      </c>
      <c r="M15" s="4">
        <f t="shared" si="6"/>
        <v>28321.375662713221</v>
      </c>
      <c r="N15" s="4">
        <f t="shared" si="10"/>
        <v>0</v>
      </c>
      <c r="O15" s="4">
        <f t="shared" si="7"/>
        <v>0</v>
      </c>
      <c r="P15" s="4">
        <f t="shared" si="2"/>
        <v>502704.41801315971</v>
      </c>
      <c r="Q15" s="4">
        <f t="shared" si="3"/>
        <v>502704.41801315971</v>
      </c>
      <c r="R15" s="7" t="e">
        <f t="shared" si="8"/>
        <v>#DIV/0!</v>
      </c>
      <c r="S15" s="6" t="e">
        <f t="shared" si="9"/>
        <v>#DIV/0!</v>
      </c>
      <c r="U15" s="6">
        <v>2.7353922496712535E-2</v>
      </c>
    </row>
    <row r="16" spans="1:23" x14ac:dyDescent="0.35">
      <c r="A16">
        <v>13</v>
      </c>
      <c r="B16">
        <v>67</v>
      </c>
      <c r="D16" s="4">
        <v>35000</v>
      </c>
      <c r="E16" s="4">
        <v>0</v>
      </c>
      <c r="F16" s="4">
        <v>0</v>
      </c>
      <c r="G16" s="4">
        <v>0</v>
      </c>
      <c r="H16">
        <f>-7151*(1.1)</f>
        <v>-7866.1</v>
      </c>
      <c r="I16" s="4">
        <f t="shared" si="0"/>
        <v>0</v>
      </c>
      <c r="J16" s="4">
        <f t="shared" si="4"/>
        <v>529838.31801315967</v>
      </c>
      <c r="K16" s="4">
        <f t="shared" si="1"/>
        <v>529838.31801315967</v>
      </c>
      <c r="L16" s="4">
        <f t="shared" si="5"/>
        <v>2649.1915900657982</v>
      </c>
      <c r="M16" s="4">
        <f t="shared" si="6"/>
        <v>31790.29908078958</v>
      </c>
      <c r="N16" s="4">
        <f t="shared" si="10"/>
        <v>0</v>
      </c>
      <c r="O16" s="4">
        <f t="shared" si="7"/>
        <v>0</v>
      </c>
      <c r="P16" s="4">
        <f t="shared" si="2"/>
        <v>564277.80868401506</v>
      </c>
      <c r="Q16" s="4">
        <f t="shared" si="3"/>
        <v>564277.80868401506</v>
      </c>
      <c r="R16" s="7" t="e">
        <f t="shared" si="8"/>
        <v>#DIV/0!</v>
      </c>
      <c r="S16" s="6" t="e">
        <f t="shared" si="9"/>
        <v>#DIV/0!</v>
      </c>
      <c r="U16" s="6">
        <v>3.0309698026360632E-2</v>
      </c>
    </row>
    <row r="17" spans="1:21" x14ac:dyDescent="0.35">
      <c r="A17">
        <v>14</v>
      </c>
      <c r="B17">
        <v>68</v>
      </c>
      <c r="D17" s="4">
        <v>35000</v>
      </c>
      <c r="E17" s="4">
        <v>0</v>
      </c>
      <c r="F17" s="4">
        <v>0</v>
      </c>
      <c r="G17" s="4">
        <v>0</v>
      </c>
      <c r="H17">
        <f>-7671*(1.1)</f>
        <v>-8438.1</v>
      </c>
      <c r="I17" s="4">
        <f t="shared" si="0"/>
        <v>0</v>
      </c>
      <c r="J17" s="4">
        <f t="shared" si="4"/>
        <v>590839.70868401509</v>
      </c>
      <c r="K17" s="4">
        <f t="shared" si="1"/>
        <v>590839.70868401509</v>
      </c>
      <c r="L17" s="4">
        <f t="shared" si="5"/>
        <v>2954.1985434200756</v>
      </c>
      <c r="M17" s="4">
        <f t="shared" si="6"/>
        <v>35450.382521040905</v>
      </c>
      <c r="N17" s="4">
        <f t="shared" si="10"/>
        <v>0</v>
      </c>
      <c r="O17" s="4">
        <f t="shared" si="7"/>
        <v>0</v>
      </c>
      <c r="P17" s="4">
        <f t="shared" si="2"/>
        <v>629244.289748476</v>
      </c>
      <c r="Q17" s="4">
        <f t="shared" si="3"/>
        <v>629244.289748476</v>
      </c>
      <c r="R17" s="7" t="e">
        <f t="shared" si="8"/>
        <v>#DIV/0!</v>
      </c>
      <c r="S17" s="6" t="e">
        <f t="shared" si="9"/>
        <v>#DIV/0!</v>
      </c>
      <c r="U17" s="6">
        <v>3.2750310641361802E-2</v>
      </c>
    </row>
    <row r="18" spans="1:21" x14ac:dyDescent="0.35">
      <c r="A18">
        <v>15</v>
      </c>
      <c r="B18">
        <v>69</v>
      </c>
      <c r="D18" s="4">
        <v>35000</v>
      </c>
      <c r="E18" s="4">
        <v>0</v>
      </c>
      <c r="F18" s="4">
        <v>0</v>
      </c>
      <c r="G18" s="4">
        <v>0</v>
      </c>
      <c r="H18">
        <f>-8251*(1.1)</f>
        <v>-9076.1</v>
      </c>
      <c r="I18" s="4">
        <f t="shared" si="0"/>
        <v>0</v>
      </c>
      <c r="J18" s="4">
        <f t="shared" si="4"/>
        <v>655168.18974847603</v>
      </c>
      <c r="K18" s="4">
        <f t="shared" si="1"/>
        <v>655168.18974847603</v>
      </c>
      <c r="L18" s="4">
        <f t="shared" si="5"/>
        <v>3275.8409487423801</v>
      </c>
      <c r="M18" s="4">
        <f t="shared" si="6"/>
        <v>39310.091384908563</v>
      </c>
      <c r="N18" s="4">
        <f t="shared" si="10"/>
        <v>0</v>
      </c>
      <c r="O18" s="4">
        <f t="shared" si="7"/>
        <v>0</v>
      </c>
      <c r="P18" s="4">
        <f t="shared" si="2"/>
        <v>697754.12208212691</v>
      </c>
      <c r="Q18" s="4">
        <f t="shared" si="3"/>
        <v>697754.12208212691</v>
      </c>
      <c r="R18" s="7" t="e">
        <f t="shared" si="8"/>
        <v>#DIV/0!</v>
      </c>
      <c r="S18" s="6" t="e">
        <f t="shared" si="9"/>
        <v>#DIV/0!</v>
      </c>
      <c r="U18" s="6">
        <v>3.4788647479712331E-2</v>
      </c>
    </row>
    <row r="19" spans="1:21" x14ac:dyDescent="0.35">
      <c r="A19">
        <v>16</v>
      </c>
      <c r="B19">
        <v>70</v>
      </c>
      <c r="D19" s="4">
        <v>0</v>
      </c>
      <c r="E19" s="4">
        <v>66110</v>
      </c>
      <c r="F19" s="4">
        <f>(G18+E19)*$F$2</f>
        <v>3305.5</v>
      </c>
      <c r="G19" s="4">
        <f>E19+F19</f>
        <v>69415.5</v>
      </c>
      <c r="H19">
        <f>-1496*(1.1)</f>
        <v>-1645.6000000000001</v>
      </c>
      <c r="I19" s="4">
        <f t="shared" si="0"/>
        <v>0</v>
      </c>
      <c r="J19" s="4">
        <f t="shared" si="4"/>
        <v>629998.52208212693</v>
      </c>
      <c r="K19" s="4">
        <f t="shared" si="1"/>
        <v>696108.52208212693</v>
      </c>
      <c r="L19" s="4">
        <f t="shared" si="5"/>
        <v>3149.9926104106348</v>
      </c>
      <c r="M19" s="4">
        <f t="shared" si="6"/>
        <v>37799.911324927612</v>
      </c>
      <c r="N19" s="4">
        <f t="shared" si="10"/>
        <v>330.55</v>
      </c>
      <c r="O19" s="4">
        <f t="shared" si="7"/>
        <v>3966.6</v>
      </c>
      <c r="P19" s="4">
        <f t="shared" si="2"/>
        <v>741355.57601746521</v>
      </c>
      <c r="Q19" s="4">
        <f t="shared" si="3"/>
        <v>671940.07601746521</v>
      </c>
      <c r="R19" s="8">
        <f t="shared" si="8"/>
        <v>9.9999999999999985E-3</v>
      </c>
      <c r="S19" s="6">
        <f t="shared" si="9"/>
        <v>1.4999999999999994E-2</v>
      </c>
      <c r="U19" s="6">
        <v>3.7502596512605457E-2</v>
      </c>
    </row>
    <row r="20" spans="1:21" x14ac:dyDescent="0.35">
      <c r="A20">
        <v>17</v>
      </c>
      <c r="B20">
        <v>71</v>
      </c>
      <c r="D20" s="4">
        <v>0</v>
      </c>
      <c r="E20" s="4">
        <f>E19</f>
        <v>66110</v>
      </c>
      <c r="F20" s="4">
        <f>(G19+E20)*$F$2</f>
        <v>6776.2750000000005</v>
      </c>
      <c r="G20" s="4">
        <f>E20+F20+G19</f>
        <v>142301.77499999999</v>
      </c>
      <c r="H20">
        <f>-1524*(1.1)</f>
        <v>-1676.4</v>
      </c>
      <c r="I20" s="4">
        <f t="shared" si="0"/>
        <v>0</v>
      </c>
      <c r="J20" s="4">
        <f t="shared" si="4"/>
        <v>604153.67601746519</v>
      </c>
      <c r="K20" s="4">
        <f t="shared" si="1"/>
        <v>739679.17601746519</v>
      </c>
      <c r="L20" s="4">
        <f t="shared" si="5"/>
        <v>3020.768380087326</v>
      </c>
      <c r="M20" s="4">
        <f t="shared" si="6"/>
        <v>36249.220561047907</v>
      </c>
      <c r="N20" s="4">
        <f t="shared" si="10"/>
        <v>677.62750000000005</v>
      </c>
      <c r="O20" s="4">
        <f t="shared" si="7"/>
        <v>8131.53</v>
      </c>
      <c r="P20" s="4">
        <f t="shared" si="2"/>
        <v>787758.32245860039</v>
      </c>
      <c r="Q20" s="4">
        <f t="shared" si="3"/>
        <v>645456.54745860037</v>
      </c>
      <c r="R20" s="8">
        <f t="shared" si="8"/>
        <v>9.9999999999999933E-3</v>
      </c>
      <c r="S20" s="6">
        <f t="shared" si="9"/>
        <v>1.4999999999999991E-2</v>
      </c>
      <c r="U20" s="6">
        <v>4.0103383972259099E-2</v>
      </c>
    </row>
    <row r="21" spans="1:21" x14ac:dyDescent="0.35">
      <c r="A21">
        <v>18</v>
      </c>
      <c r="B21">
        <v>72</v>
      </c>
      <c r="D21" s="4">
        <v>0</v>
      </c>
      <c r="E21" s="4">
        <f t="shared" ref="E21:E38" si="11">E20</f>
        <v>66110</v>
      </c>
      <c r="F21" s="4">
        <f t="shared" ref="F21:F69" si="12">(G20+E21)*$F$2</f>
        <v>10420.588750000001</v>
      </c>
      <c r="G21" s="4">
        <f t="shared" ref="G21:G69" si="13">E21+F21+G20</f>
        <v>218832.36374999999</v>
      </c>
      <c r="H21">
        <f>-1516*(1.1)</f>
        <v>-1667.6000000000001</v>
      </c>
      <c r="I21" s="4">
        <f t="shared" si="0"/>
        <v>0</v>
      </c>
      <c r="J21" s="4">
        <f t="shared" si="4"/>
        <v>577678.94745860039</v>
      </c>
      <c r="K21" s="4">
        <f t="shared" si="1"/>
        <v>786090.72245860042</v>
      </c>
      <c r="L21" s="4">
        <f t="shared" si="5"/>
        <v>2888.394737293002</v>
      </c>
      <c r="M21" s="4">
        <f t="shared" si="6"/>
        <v>34660.736847516026</v>
      </c>
      <c r="N21" s="4">
        <f t="shared" si="10"/>
        <v>1042.0588749999999</v>
      </c>
      <c r="O21" s="4">
        <f t="shared" si="7"/>
        <v>12504.706499999998</v>
      </c>
      <c r="P21" s="4">
        <f t="shared" si="2"/>
        <v>837186.61941840942</v>
      </c>
      <c r="Q21" s="4">
        <f t="shared" si="3"/>
        <v>618354.2556684094</v>
      </c>
      <c r="R21" s="8">
        <f t="shared" si="8"/>
        <v>9.9999999999999881E-3</v>
      </c>
      <c r="S21" s="6">
        <f t="shared" si="9"/>
        <v>1.4999999999999993E-2</v>
      </c>
      <c r="U21" s="6">
        <v>4.2649070422006385E-2</v>
      </c>
    </row>
    <row r="22" spans="1:21" x14ac:dyDescent="0.35">
      <c r="A22">
        <v>19</v>
      </c>
      <c r="B22">
        <v>73</v>
      </c>
      <c r="D22" s="4">
        <v>0</v>
      </c>
      <c r="E22" s="4">
        <f t="shared" si="11"/>
        <v>66110</v>
      </c>
      <c r="F22" s="4">
        <f t="shared" si="12"/>
        <v>14247.118187500002</v>
      </c>
      <c r="G22" s="4">
        <f t="shared" si="13"/>
        <v>299189.48193750001</v>
      </c>
      <c r="H22">
        <f>-1460*(1.1)</f>
        <v>-1606.0000000000002</v>
      </c>
      <c r="I22" s="4">
        <f t="shared" si="0"/>
        <v>0</v>
      </c>
      <c r="J22" s="4">
        <f t="shared" si="4"/>
        <v>550638.2556684094</v>
      </c>
      <c r="K22" s="4">
        <f t="shared" si="1"/>
        <v>835580.61941840942</v>
      </c>
      <c r="L22" s="4">
        <f t="shared" si="5"/>
        <v>2753.1912783420476</v>
      </c>
      <c r="M22" s="4">
        <f t="shared" si="6"/>
        <v>33038.29534010456</v>
      </c>
      <c r="N22" s="4">
        <f t="shared" si="10"/>
        <v>1424.71181875</v>
      </c>
      <c r="O22" s="4">
        <f t="shared" si="7"/>
        <v>17096.541825</v>
      </c>
      <c r="P22" s="4">
        <f t="shared" si="2"/>
        <v>889893.35968060605</v>
      </c>
      <c r="Q22" s="4">
        <f t="shared" si="3"/>
        <v>590703.8777431061</v>
      </c>
      <c r="R22" s="8">
        <f t="shared" si="8"/>
        <v>9.9999999999999933E-3</v>
      </c>
      <c r="S22" s="6">
        <f t="shared" si="9"/>
        <v>1.4999999999999999E-2</v>
      </c>
      <c r="U22" s="6">
        <v>4.517345961886976E-2</v>
      </c>
    </row>
    <row r="23" spans="1:21" x14ac:dyDescent="0.35">
      <c r="A23">
        <v>20</v>
      </c>
      <c r="B23">
        <v>74</v>
      </c>
      <c r="D23" s="4">
        <v>0</v>
      </c>
      <c r="E23" s="4">
        <f t="shared" si="11"/>
        <v>66110</v>
      </c>
      <c r="F23" s="4">
        <f t="shared" si="12"/>
        <v>18264.974096875001</v>
      </c>
      <c r="G23" s="4">
        <f t="shared" si="13"/>
        <v>383564.45603437501</v>
      </c>
      <c r="H23">
        <f>-1338*(1.1)</f>
        <v>-1471.8000000000002</v>
      </c>
      <c r="I23" s="4">
        <f t="shared" si="0"/>
        <v>0</v>
      </c>
      <c r="J23" s="4">
        <f t="shared" si="4"/>
        <v>523122.07774310606</v>
      </c>
      <c r="K23" s="4">
        <f t="shared" si="1"/>
        <v>888421.55968060601</v>
      </c>
      <c r="L23" s="4">
        <f t="shared" si="5"/>
        <v>2615.61038871553</v>
      </c>
      <c r="M23" s="4">
        <f t="shared" si="6"/>
        <v>31387.324664586362</v>
      </c>
      <c r="N23" s="4">
        <f t="shared" si="10"/>
        <v>1826.4974096875001</v>
      </c>
      <c r="O23" s="4">
        <f t="shared" si="7"/>
        <v>21917.96891625</v>
      </c>
      <c r="P23" s="4">
        <f t="shared" si="2"/>
        <v>946168.9610598454</v>
      </c>
      <c r="Q23" s="4">
        <f t="shared" si="3"/>
        <v>562604.5050254704</v>
      </c>
      <c r="R23" s="8">
        <f t="shared" si="8"/>
        <v>9.9999999999999967E-3</v>
      </c>
      <c r="S23" s="6">
        <f t="shared" si="9"/>
        <v>1.4999999999999999E-2</v>
      </c>
      <c r="U23" s="6">
        <v>4.7696246248933649E-2</v>
      </c>
    </row>
    <row r="24" spans="1:21" x14ac:dyDescent="0.35">
      <c r="A24">
        <v>21</v>
      </c>
      <c r="B24">
        <v>75</v>
      </c>
      <c r="D24" s="4">
        <v>0</v>
      </c>
      <c r="E24" s="4">
        <f t="shared" si="11"/>
        <v>66110</v>
      </c>
      <c r="F24" s="4">
        <f t="shared" si="12"/>
        <v>22483.722801718752</v>
      </c>
      <c r="G24" s="4">
        <f t="shared" si="13"/>
        <v>472158.17883609375</v>
      </c>
      <c r="H24">
        <f>-1125*(1.1)</f>
        <v>-1237.5</v>
      </c>
      <c r="I24" s="4">
        <f t="shared" si="0"/>
        <v>0</v>
      </c>
      <c r="J24" s="4">
        <f t="shared" si="4"/>
        <v>495257.0050254704</v>
      </c>
      <c r="K24" s="4">
        <f t="shared" si="1"/>
        <v>944931.4610598454</v>
      </c>
      <c r="L24" s="4">
        <f t="shared" si="5"/>
        <v>2476.2850251273521</v>
      </c>
      <c r="M24" s="4">
        <f t="shared" si="6"/>
        <v>29715.420301528222</v>
      </c>
      <c r="N24" s="4">
        <f t="shared" si="10"/>
        <v>2248.372280171875</v>
      </c>
      <c r="O24" s="4">
        <f t="shared" si="7"/>
        <v>26980.4673620625</v>
      </c>
      <c r="P24" s="4">
        <f t="shared" si="2"/>
        <v>1006352.0060287353</v>
      </c>
      <c r="Q24" s="4">
        <f t="shared" si="3"/>
        <v>534193.82719264156</v>
      </c>
      <c r="R24" s="8">
        <f t="shared" si="8"/>
        <v>9.999999999999995E-3</v>
      </c>
      <c r="S24" s="6">
        <f t="shared" si="9"/>
        <v>1.4999999999999998E-2</v>
      </c>
      <c r="U24" s="6">
        <v>5.0228261075816905E-2</v>
      </c>
    </row>
    <row r="25" spans="1:21" x14ac:dyDescent="0.35">
      <c r="A25">
        <v>22</v>
      </c>
      <c r="B25">
        <v>76</v>
      </c>
      <c r="D25" s="4">
        <v>0</v>
      </c>
      <c r="E25" s="4">
        <f t="shared" si="11"/>
        <v>66110</v>
      </c>
      <c r="F25" s="4">
        <f t="shared" si="12"/>
        <v>26913.40894180469</v>
      </c>
      <c r="G25" s="4">
        <f t="shared" si="13"/>
        <v>565181.58777789841</v>
      </c>
      <c r="H25">
        <f>-1315*(1.1)</f>
        <v>-1446.5000000000002</v>
      </c>
      <c r="I25" s="4">
        <f t="shared" si="0"/>
        <v>0</v>
      </c>
      <c r="J25" s="4">
        <f t="shared" si="4"/>
        <v>466637.32719264156</v>
      </c>
      <c r="K25" s="4">
        <f t="shared" si="1"/>
        <v>1004905.5060287353</v>
      </c>
      <c r="L25" s="4">
        <f t="shared" si="5"/>
        <v>2333.1866359632077</v>
      </c>
      <c r="M25" s="4">
        <f t="shared" si="6"/>
        <v>27998.239631558492</v>
      </c>
      <c r="N25" s="4">
        <f t="shared" si="10"/>
        <v>2691.3408941804687</v>
      </c>
      <c r="O25" s="4">
        <f t="shared" si="7"/>
        <v>32296.090730165623</v>
      </c>
      <c r="P25" s="4">
        <f t="shared" si="2"/>
        <v>1070224.3639206032</v>
      </c>
      <c r="Q25" s="4">
        <f t="shared" si="3"/>
        <v>505042.77614270477</v>
      </c>
      <c r="R25" s="8">
        <f t="shared" si="8"/>
        <v>9.9999999999999915E-3</v>
      </c>
      <c r="S25" s="6">
        <f t="shared" si="9"/>
        <v>1.4999999999999994E-2</v>
      </c>
      <c r="U25" s="6">
        <v>5.2733535189252834E-2</v>
      </c>
    </row>
    <row r="26" spans="1:21" x14ac:dyDescent="0.35">
      <c r="A26">
        <v>23</v>
      </c>
      <c r="B26">
        <v>77</v>
      </c>
      <c r="D26" s="4">
        <v>0</v>
      </c>
      <c r="E26" s="4">
        <f t="shared" si="11"/>
        <v>66110</v>
      </c>
      <c r="F26" s="4">
        <f t="shared" si="12"/>
        <v>31564.579388894923</v>
      </c>
      <c r="G26" s="4">
        <f t="shared" si="13"/>
        <v>662856.16716679337</v>
      </c>
      <c r="H26">
        <f>-1537*(1.1)</f>
        <v>-1690.7</v>
      </c>
      <c r="I26" s="4">
        <f t="shared" si="0"/>
        <v>0</v>
      </c>
      <c r="J26" s="4">
        <f t="shared" si="4"/>
        <v>437242.07614270481</v>
      </c>
      <c r="K26" s="4">
        <f t="shared" si="1"/>
        <v>1068533.6639206032</v>
      </c>
      <c r="L26" s="4">
        <f t="shared" si="5"/>
        <v>2186.2103807135236</v>
      </c>
      <c r="M26" s="4">
        <f t="shared" si="6"/>
        <v>26234.524568562287</v>
      </c>
      <c r="N26" s="4">
        <f t="shared" si="10"/>
        <v>3156.4579388894922</v>
      </c>
      <c r="O26" s="4">
        <f t="shared" si="7"/>
        <v>37877.495266673905</v>
      </c>
      <c r="P26" s="4">
        <f t="shared" si="2"/>
        <v>1137988.3520754424</v>
      </c>
      <c r="Q26" s="4">
        <f t="shared" si="3"/>
        <v>475132.18490864907</v>
      </c>
      <c r="R26" s="8">
        <f t="shared" si="8"/>
        <v>9.9999999999999967E-3</v>
      </c>
      <c r="S26" s="6">
        <f t="shared" si="9"/>
        <v>1.4999999999999998E-2</v>
      </c>
      <c r="U26" s="6">
        <v>5.5211019168524444E-2</v>
      </c>
    </row>
    <row r="27" spans="1:21" x14ac:dyDescent="0.35">
      <c r="A27">
        <v>24</v>
      </c>
      <c r="B27">
        <v>78</v>
      </c>
      <c r="D27" s="4">
        <v>0</v>
      </c>
      <c r="E27" s="4">
        <f t="shared" si="11"/>
        <v>66110</v>
      </c>
      <c r="F27" s="4">
        <f t="shared" si="12"/>
        <v>36448.308358339673</v>
      </c>
      <c r="G27" s="4">
        <f t="shared" si="13"/>
        <v>765414.47552513308</v>
      </c>
      <c r="H27">
        <f>-1797*(1.1)</f>
        <v>-1976.7000000000003</v>
      </c>
      <c r="I27" s="4">
        <f t="shared" si="0"/>
        <v>0</v>
      </c>
      <c r="J27" s="4">
        <f t="shared" si="4"/>
        <v>407045.48490864912</v>
      </c>
      <c r="K27" s="4">
        <f t="shared" si="1"/>
        <v>1136011.6520754425</v>
      </c>
      <c r="L27" s="4">
        <f t="shared" si="5"/>
        <v>2035.2274245432454</v>
      </c>
      <c r="M27" s="4">
        <f t="shared" si="6"/>
        <v>24422.729094518945</v>
      </c>
      <c r="N27" s="4">
        <f t="shared" si="10"/>
        <v>3644.8308358339668</v>
      </c>
      <c r="O27" s="4">
        <f t="shared" si="7"/>
        <v>43737.9700300076</v>
      </c>
      <c r="P27" s="4">
        <f t="shared" si="2"/>
        <v>1209852.4094603464</v>
      </c>
      <c r="Q27" s="4">
        <f t="shared" si="3"/>
        <v>444437.93393521337</v>
      </c>
      <c r="R27" s="8">
        <f t="shared" si="8"/>
        <v>9.9999999999999915E-3</v>
      </c>
      <c r="S27" s="6">
        <f t="shared" si="9"/>
        <v>1.4999999999999987E-2</v>
      </c>
      <c r="U27" s="6">
        <v>5.7656325403991904E-2</v>
      </c>
    </row>
    <row r="28" spans="1:21" x14ac:dyDescent="0.35">
      <c r="A28">
        <v>25</v>
      </c>
      <c r="B28">
        <v>79</v>
      </c>
      <c r="D28" s="4">
        <v>0</v>
      </c>
      <c r="E28" s="4">
        <f t="shared" si="11"/>
        <v>66110</v>
      </c>
      <c r="F28" s="4">
        <f t="shared" si="12"/>
        <v>41576.223776256658</v>
      </c>
      <c r="G28" s="4">
        <f t="shared" si="13"/>
        <v>873100.69930138974</v>
      </c>
      <c r="H28">
        <f>-2098*(1.1)</f>
        <v>-2307.8000000000002</v>
      </c>
      <c r="I28" s="4">
        <f t="shared" si="0"/>
        <v>0</v>
      </c>
      <c r="J28" s="4">
        <f t="shared" si="4"/>
        <v>376020.13393521332</v>
      </c>
      <c r="K28" s="4">
        <f t="shared" si="1"/>
        <v>1207544.6094603464</v>
      </c>
      <c r="L28" s="4">
        <f t="shared" si="5"/>
        <v>1880.1006696760667</v>
      </c>
      <c r="M28" s="4">
        <f t="shared" si="6"/>
        <v>22561.208036112799</v>
      </c>
      <c r="N28" s="4">
        <f t="shared" si="10"/>
        <v>4157.6223776256656</v>
      </c>
      <c r="O28" s="4">
        <f t="shared" si="7"/>
        <v>49891.468531507984</v>
      </c>
      <c r="P28" s="4">
        <f t="shared" si="2"/>
        <v>1286035.0090752689</v>
      </c>
      <c r="Q28" s="4">
        <f t="shared" si="3"/>
        <v>412934.30977387913</v>
      </c>
      <c r="R28" s="8">
        <f t="shared" si="8"/>
        <v>9.9999999999999933E-3</v>
      </c>
      <c r="S28" s="6">
        <f t="shared" si="9"/>
        <v>1.4999999999999996E-2</v>
      </c>
      <c r="U28" s="6">
        <v>6.0063121151742838E-2</v>
      </c>
    </row>
    <row r="29" spans="1:21" x14ac:dyDescent="0.35">
      <c r="A29">
        <v>26</v>
      </c>
      <c r="B29">
        <v>80</v>
      </c>
      <c r="D29" s="4">
        <v>0</v>
      </c>
      <c r="E29" s="4">
        <f t="shared" si="11"/>
        <v>66110</v>
      </c>
      <c r="F29" s="4">
        <f t="shared" si="12"/>
        <v>46960.534965069492</v>
      </c>
      <c r="G29" s="4">
        <f t="shared" si="13"/>
        <v>986171.23426645924</v>
      </c>
      <c r="H29">
        <f>-2450*(1.1)</f>
        <v>-2695</v>
      </c>
      <c r="I29" s="4">
        <f t="shared" si="0"/>
        <v>0</v>
      </c>
      <c r="J29" s="4">
        <f t="shared" si="4"/>
        <v>344129.30977387913</v>
      </c>
      <c r="K29" s="4">
        <f t="shared" si="1"/>
        <v>1283340.0090752689</v>
      </c>
      <c r="L29" s="4">
        <f t="shared" si="5"/>
        <v>1720.6465488693957</v>
      </c>
      <c r="M29" s="4">
        <f t="shared" si="6"/>
        <v>20647.758586432748</v>
      </c>
      <c r="N29" s="4">
        <f t="shared" si="10"/>
        <v>4696.0534965069492</v>
      </c>
      <c r="O29" s="4">
        <f t="shared" si="7"/>
        <v>56352.641958083383</v>
      </c>
      <c r="P29" s="4">
        <f t="shared" si="2"/>
        <v>1366757.1096651615</v>
      </c>
      <c r="Q29" s="4">
        <f t="shared" si="3"/>
        <v>380585.87539870222</v>
      </c>
      <c r="R29" s="8">
        <f t="shared" si="8"/>
        <v>9.9999999999999933E-3</v>
      </c>
      <c r="S29" s="6">
        <f t="shared" si="9"/>
        <v>1.4999999999999989E-2</v>
      </c>
      <c r="U29" s="6">
        <v>6.242366015996681E-2</v>
      </c>
    </row>
    <row r="30" spans="1:21" x14ac:dyDescent="0.35">
      <c r="A30">
        <v>27</v>
      </c>
      <c r="B30">
        <v>81</v>
      </c>
      <c r="D30" s="4">
        <v>0</v>
      </c>
      <c r="E30" s="4">
        <f t="shared" si="11"/>
        <v>66110</v>
      </c>
      <c r="F30" s="4">
        <f t="shared" si="12"/>
        <v>52614.061713322968</v>
      </c>
      <c r="G30" s="4">
        <f t="shared" si="13"/>
        <v>1104895.2959797822</v>
      </c>
      <c r="H30">
        <f>-2899*(1.1)</f>
        <v>-3188.9</v>
      </c>
      <c r="I30" s="4">
        <f t="shared" si="0"/>
        <v>0</v>
      </c>
      <c r="J30" s="4">
        <f t="shared" si="4"/>
        <v>311286.97539870231</v>
      </c>
      <c r="K30" s="4">
        <f t="shared" si="1"/>
        <v>1363568.2096651616</v>
      </c>
      <c r="L30" s="4">
        <f t="shared" si="5"/>
        <v>1556.4348769935116</v>
      </c>
      <c r="M30" s="4">
        <f t="shared" si="6"/>
        <v>18677.21852392214</v>
      </c>
      <c r="N30" s="4">
        <f t="shared" si="10"/>
        <v>5261.4061713322963</v>
      </c>
      <c r="O30" s="4">
        <f t="shared" si="7"/>
        <v>63136.874055987551</v>
      </c>
      <c r="P30" s="4">
        <f t="shared" si="2"/>
        <v>1452200.143293397</v>
      </c>
      <c r="Q30" s="4">
        <f t="shared" si="3"/>
        <v>347304.84731361479</v>
      </c>
      <c r="R30" s="8">
        <f t="shared" si="8"/>
        <v>9.9999999999999915E-3</v>
      </c>
      <c r="S30" s="6">
        <f t="shared" si="9"/>
        <v>1.4999999999999991E-2</v>
      </c>
      <c r="U30" s="6">
        <v>6.4728149216610076E-2</v>
      </c>
    </row>
    <row r="31" spans="1:21" x14ac:dyDescent="0.35">
      <c r="A31">
        <v>28</v>
      </c>
      <c r="B31">
        <v>82</v>
      </c>
      <c r="D31" s="4">
        <v>0</v>
      </c>
      <c r="E31" s="4">
        <f t="shared" si="11"/>
        <v>66110</v>
      </c>
      <c r="F31" s="4">
        <f t="shared" si="12"/>
        <v>58550.264798989112</v>
      </c>
      <c r="G31" s="4">
        <f t="shared" si="13"/>
        <v>1229555.5607787713</v>
      </c>
      <c r="H31">
        <f>-3428*(1.1)</f>
        <v>-3770.8</v>
      </c>
      <c r="I31" s="4">
        <f t="shared" si="0"/>
        <v>0</v>
      </c>
      <c r="J31" s="4">
        <f t="shared" si="4"/>
        <v>277424.04731361475</v>
      </c>
      <c r="K31" s="4">
        <f t="shared" si="1"/>
        <v>1448429.343293397</v>
      </c>
      <c r="L31" s="4">
        <f t="shared" si="5"/>
        <v>1387.120236568074</v>
      </c>
      <c r="M31" s="4">
        <f t="shared" si="6"/>
        <v>16645.442838816885</v>
      </c>
      <c r="N31" s="4">
        <f t="shared" si="10"/>
        <v>5855.026479898911</v>
      </c>
      <c r="O31" s="4">
        <f t="shared" si="7"/>
        <v>70260.317758786929</v>
      </c>
      <c r="P31" s="4">
        <f t="shared" si="2"/>
        <v>1542577.250607468</v>
      </c>
      <c r="Q31" s="4">
        <f t="shared" si="3"/>
        <v>313021.68982869666</v>
      </c>
      <c r="R31" s="8">
        <f t="shared" si="8"/>
        <v>9.999999999999995E-3</v>
      </c>
      <c r="S31" s="6">
        <f t="shared" si="9"/>
        <v>1.4999999999999993E-2</v>
      </c>
      <c r="U31" s="6">
        <v>6.6968542193958092E-2</v>
      </c>
    </row>
    <row r="32" spans="1:21" x14ac:dyDescent="0.35">
      <c r="A32">
        <v>29</v>
      </c>
      <c r="B32">
        <v>83</v>
      </c>
      <c r="D32" s="4">
        <v>0</v>
      </c>
      <c r="E32" s="4">
        <f t="shared" si="11"/>
        <v>66110</v>
      </c>
      <c r="F32" s="4">
        <f t="shared" si="12"/>
        <v>64783.278038938566</v>
      </c>
      <c r="G32" s="4">
        <f t="shared" si="13"/>
        <v>1360448.8388177098</v>
      </c>
      <c r="H32">
        <f>-4047*(1.1)</f>
        <v>-4451.7000000000007</v>
      </c>
      <c r="I32" s="4">
        <f t="shared" si="0"/>
        <v>0</v>
      </c>
      <c r="J32" s="4">
        <f t="shared" si="4"/>
        <v>242459.98982869671</v>
      </c>
      <c r="K32" s="4">
        <f t="shared" si="1"/>
        <v>1538125.550607468</v>
      </c>
      <c r="L32" s="4">
        <f t="shared" si="5"/>
        <v>1212.2999491434837</v>
      </c>
      <c r="M32" s="4">
        <f t="shared" si="6"/>
        <v>14547.599389721801</v>
      </c>
      <c r="N32" s="4">
        <f t="shared" si="10"/>
        <v>6478.327803893857</v>
      </c>
      <c r="O32" s="4">
        <f t="shared" si="7"/>
        <v>77739.933646726276</v>
      </c>
      <c r="P32" s="4">
        <f t="shared" si="2"/>
        <v>1638103.7113969536</v>
      </c>
      <c r="Q32" s="4">
        <f t="shared" si="3"/>
        <v>277654.87257924373</v>
      </c>
      <c r="R32" s="8">
        <f t="shared" si="8"/>
        <v>9.9999999999999985E-3</v>
      </c>
      <c r="S32" s="6">
        <f t="shared" si="9"/>
        <v>1.4999999999999999E-2</v>
      </c>
      <c r="U32" s="6">
        <v>6.9137482234755687E-2</v>
      </c>
    </row>
    <row r="33" spans="1:21" x14ac:dyDescent="0.35">
      <c r="A33">
        <v>30</v>
      </c>
      <c r="B33">
        <v>84</v>
      </c>
      <c r="D33" s="4">
        <v>0</v>
      </c>
      <c r="E33" s="4">
        <f t="shared" si="11"/>
        <v>66110</v>
      </c>
      <c r="F33" s="4">
        <f t="shared" si="12"/>
        <v>71327.941940885488</v>
      </c>
      <c r="G33" s="4">
        <f t="shared" si="13"/>
        <v>1497886.7807585953</v>
      </c>
      <c r="H33">
        <f>-4775*(1.1)</f>
        <v>-5252.5</v>
      </c>
      <c r="I33" s="4">
        <f t="shared" si="0"/>
        <v>0</v>
      </c>
      <c r="J33" s="4">
        <f t="shared" si="4"/>
        <v>206292.37257924373</v>
      </c>
      <c r="K33" s="4">
        <f t="shared" si="1"/>
        <v>1632851.2113969536</v>
      </c>
      <c r="L33" s="4">
        <f t="shared" si="5"/>
        <v>1031.4618628962187</v>
      </c>
      <c r="M33" s="4">
        <f t="shared" si="6"/>
        <v>12377.542354754623</v>
      </c>
      <c r="N33" s="4">
        <f t="shared" si="10"/>
        <v>7132.7941940885494</v>
      </c>
      <c r="O33" s="4">
        <f t="shared" si="7"/>
        <v>85593.530329062589</v>
      </c>
      <c r="P33" s="4">
        <f t="shared" si="2"/>
        <v>1738986.5401377555</v>
      </c>
      <c r="Q33" s="4">
        <f t="shared" si="3"/>
        <v>241099.75937916012</v>
      </c>
      <c r="R33" s="8">
        <f t="shared" si="8"/>
        <v>1.0000000000000002E-2</v>
      </c>
      <c r="S33" s="6">
        <f t="shared" si="9"/>
        <v>1.5000000000000003E-2</v>
      </c>
      <c r="U33" s="6">
        <v>7.1228380707568872E-2</v>
      </c>
    </row>
    <row r="34" spans="1:21" x14ac:dyDescent="0.35">
      <c r="A34">
        <v>31</v>
      </c>
      <c r="B34">
        <v>85</v>
      </c>
      <c r="D34" s="4">
        <v>0</v>
      </c>
      <c r="E34" s="4">
        <f t="shared" si="11"/>
        <v>66110</v>
      </c>
      <c r="F34" s="4">
        <f t="shared" si="12"/>
        <v>78199.839037929763</v>
      </c>
      <c r="G34" s="4">
        <f t="shared" si="13"/>
        <v>1642196.6197965252</v>
      </c>
      <c r="H34">
        <f>-5687*(1.1)</f>
        <v>-6255.7000000000007</v>
      </c>
      <c r="I34" s="4">
        <f t="shared" si="0"/>
        <v>0</v>
      </c>
      <c r="J34" s="4">
        <f t="shared" si="4"/>
        <v>168734.05937916017</v>
      </c>
      <c r="K34" s="4">
        <f t="shared" si="1"/>
        <v>1732730.8401377555</v>
      </c>
      <c r="L34" s="4">
        <f t="shared" si="5"/>
        <v>843.67029689580033</v>
      </c>
      <c r="M34" s="4">
        <f t="shared" si="6"/>
        <v>10124.04356274961</v>
      </c>
      <c r="N34" s="4">
        <f t="shared" si="10"/>
        <v>7819.9839037929769</v>
      </c>
      <c r="O34" s="4">
        <f t="shared" si="7"/>
        <v>93839.806845515719</v>
      </c>
      <c r="P34" s="4">
        <f t="shared" si="2"/>
        <v>1845358.3447467096</v>
      </c>
      <c r="Q34" s="4">
        <f t="shared" si="3"/>
        <v>203161.72495018435</v>
      </c>
      <c r="R34" s="8">
        <f t="shared" si="8"/>
        <v>1.0000000000000002E-2</v>
      </c>
      <c r="S34" s="6">
        <f t="shared" si="9"/>
        <v>1.5000000000000003E-2</v>
      </c>
      <c r="U34" s="6">
        <v>7.3234376975163329E-2</v>
      </c>
    </row>
    <row r="35" spans="1:21" x14ac:dyDescent="0.35">
      <c r="A35">
        <v>32</v>
      </c>
      <c r="B35">
        <v>86</v>
      </c>
      <c r="D35" s="4">
        <v>0</v>
      </c>
      <c r="E35" s="4">
        <f t="shared" si="11"/>
        <v>66110</v>
      </c>
      <c r="F35" s="4">
        <f t="shared" si="12"/>
        <v>85415.330989826267</v>
      </c>
      <c r="G35" s="4">
        <f t="shared" si="13"/>
        <v>1793721.9507863515</v>
      </c>
      <c r="H35">
        <f>-6779*(1.1)</f>
        <v>-7456.9000000000005</v>
      </c>
      <c r="I35" s="4">
        <f t="shared" si="0"/>
        <v>0</v>
      </c>
      <c r="J35" s="4">
        <f t="shared" si="4"/>
        <v>129594.82495018444</v>
      </c>
      <c r="K35" s="4">
        <f t="shared" si="1"/>
        <v>1837901.4447467097</v>
      </c>
      <c r="L35" s="4">
        <f t="shared" si="5"/>
        <v>647.97412475092233</v>
      </c>
      <c r="M35" s="4">
        <f t="shared" si="6"/>
        <v>7775.6894970110661</v>
      </c>
      <c r="N35" s="4">
        <f t="shared" si="10"/>
        <v>8541.5330989826271</v>
      </c>
      <c r="O35" s="4">
        <f t="shared" si="7"/>
        <v>102498.3971877915</v>
      </c>
      <c r="P35" s="4">
        <f t="shared" si="2"/>
        <v>1957365.0386552457</v>
      </c>
      <c r="Q35" s="4">
        <f t="shared" si="3"/>
        <v>163643.08786889422</v>
      </c>
      <c r="R35" s="8">
        <f t="shared" si="8"/>
        <v>9.9999999999999898E-3</v>
      </c>
      <c r="S35" s="6">
        <f t="shared" si="9"/>
        <v>1.4999999999999994E-2</v>
      </c>
      <c r="U35" s="6">
        <v>7.5151022477240037E-2</v>
      </c>
    </row>
    <row r="36" spans="1:21" x14ac:dyDescent="0.35">
      <c r="A36">
        <v>33</v>
      </c>
      <c r="B36">
        <v>87</v>
      </c>
      <c r="D36" s="4">
        <v>0</v>
      </c>
      <c r="E36" s="4">
        <f t="shared" si="11"/>
        <v>66110</v>
      </c>
      <c r="F36" s="4">
        <f t="shared" si="12"/>
        <v>92991.597539317576</v>
      </c>
      <c r="G36" s="4">
        <f t="shared" si="13"/>
        <v>1952823.548325669</v>
      </c>
      <c r="H36">
        <f>-8081*(1.1)</f>
        <v>-8889.1</v>
      </c>
      <c r="I36" s="4">
        <f t="shared" si="0"/>
        <v>0</v>
      </c>
      <c r="J36" s="4">
        <f t="shared" si="4"/>
        <v>88643.987868894124</v>
      </c>
      <c r="K36" s="4">
        <f t="shared" si="1"/>
        <v>1948475.9386552456</v>
      </c>
      <c r="L36" s="4">
        <f t="shared" si="5"/>
        <v>443.21993934447073</v>
      </c>
      <c r="M36" s="4">
        <f t="shared" si="6"/>
        <v>5318.639272133647</v>
      </c>
      <c r="N36" s="4">
        <f t="shared" si="10"/>
        <v>9299.1597539317572</v>
      </c>
      <c r="O36" s="4">
        <f t="shared" si="7"/>
        <v>111589.91704718108</v>
      </c>
      <c r="P36" s="4">
        <f t="shared" si="2"/>
        <v>2075126.8746678366</v>
      </c>
      <c r="Q36" s="4">
        <f t="shared" si="3"/>
        <v>122303.32634216757</v>
      </c>
      <c r="R36" s="8">
        <f t="shared" si="8"/>
        <v>9.9999999999999933E-3</v>
      </c>
      <c r="S36" s="6">
        <f t="shared" si="9"/>
        <v>1.4999999999999994E-2</v>
      </c>
      <c r="U36" s="6">
        <v>7.6975253334081062E-2</v>
      </c>
    </row>
    <row r="37" spans="1:21" x14ac:dyDescent="0.35">
      <c r="A37">
        <v>34</v>
      </c>
      <c r="B37">
        <v>88</v>
      </c>
      <c r="D37" s="4">
        <v>0</v>
      </c>
      <c r="E37" s="4">
        <f t="shared" si="11"/>
        <v>66110</v>
      </c>
      <c r="F37" s="4">
        <f t="shared" si="12"/>
        <v>100946.67741628346</v>
      </c>
      <c r="G37" s="4">
        <f t="shared" si="13"/>
        <v>2119880.2257419527</v>
      </c>
      <c r="H37">
        <f>-9657*(1.1)</f>
        <v>-10622.7</v>
      </c>
      <c r="I37" s="4">
        <f t="shared" si="0"/>
        <v>0</v>
      </c>
      <c r="J37" s="4">
        <f t="shared" si="4"/>
        <v>45570.626342167612</v>
      </c>
      <c r="K37" s="4">
        <f t="shared" si="1"/>
        <v>2064504.1746678366</v>
      </c>
      <c r="L37" s="4">
        <f t="shared" si="5"/>
        <v>227.8531317108372</v>
      </c>
      <c r="M37" s="4">
        <f t="shared" si="6"/>
        <v>2734.2375805300567</v>
      </c>
      <c r="N37" s="4">
        <f t="shared" si="10"/>
        <v>10094.667741628346</v>
      </c>
      <c r="O37" s="4">
        <f t="shared" si="7"/>
        <v>121136.01289954013</v>
      </c>
      <c r="P37" s="4">
        <f t="shared" si="2"/>
        <v>2198696.9460212458</v>
      </c>
      <c r="Q37" s="4">
        <f t="shared" si="3"/>
        <v>78816.720279293135</v>
      </c>
      <c r="R37" s="8">
        <f t="shared" si="8"/>
        <v>9.9999999999999898E-3</v>
      </c>
      <c r="S37" s="6">
        <f t="shared" si="9"/>
        <v>1.4999999999999984E-2</v>
      </c>
      <c r="U37" s="6">
        <v>7.8704836490038454E-2</v>
      </c>
    </row>
    <row r="38" spans="1:21" x14ac:dyDescent="0.35">
      <c r="A38">
        <v>35</v>
      </c>
      <c r="B38">
        <v>89</v>
      </c>
      <c r="D38" s="4">
        <v>0</v>
      </c>
      <c r="E38" s="4">
        <f t="shared" si="11"/>
        <v>66110</v>
      </c>
      <c r="F38" s="4">
        <f t="shared" si="12"/>
        <v>109299.51128709764</v>
      </c>
      <c r="G38" s="4">
        <f t="shared" si="13"/>
        <v>2295289.7370290505</v>
      </c>
      <c r="H38">
        <f>-11544*(1.1)</f>
        <v>-12698.400000000001</v>
      </c>
      <c r="I38" s="4">
        <f t="shared" si="0"/>
        <v>0</v>
      </c>
      <c r="J38" s="13">
        <f t="shared" si="4"/>
        <v>8.3202792932279408</v>
      </c>
      <c r="K38" s="4">
        <f t="shared" si="1"/>
        <v>2185998.5460212459</v>
      </c>
      <c r="L38" s="4">
        <f t="shared" si="5"/>
        <v>4.1601396465266588E-2</v>
      </c>
      <c r="M38" s="4">
        <f t="shared" si="6"/>
        <v>0.49921675759367645</v>
      </c>
      <c r="N38" s="4">
        <f t="shared" si="10"/>
        <v>10929.951128709763</v>
      </c>
      <c r="O38" s="4">
        <f t="shared" si="7"/>
        <v>131159.41354451716</v>
      </c>
      <c r="P38" s="4">
        <f t="shared" si="2"/>
        <v>2328088.4515126268</v>
      </c>
      <c r="Q38" s="4">
        <f>P38-G38</f>
        <v>32798.714483576361</v>
      </c>
      <c r="R38" s="8">
        <f t="shared" si="8"/>
        <v>9.9999999999999933E-3</v>
      </c>
      <c r="S38" s="6">
        <f t="shared" si="9"/>
        <v>1.4999999999999996E-2</v>
      </c>
      <c r="U38" s="6">
        <v>8.0339000804155569E-2</v>
      </c>
    </row>
    <row r="39" spans="1:21" x14ac:dyDescent="0.35">
      <c r="A39">
        <v>36</v>
      </c>
      <c r="B39">
        <v>90</v>
      </c>
      <c r="D39" s="4">
        <v>0</v>
      </c>
      <c r="E39" s="4">
        <v>0</v>
      </c>
      <c r="F39" s="4">
        <f t="shared" si="12"/>
        <v>114764.48685145253</v>
      </c>
      <c r="G39" s="4">
        <f t="shared" si="13"/>
        <v>2410054.2238805029</v>
      </c>
      <c r="H39">
        <f>-13731*(1.1)</f>
        <v>-15104.1</v>
      </c>
      <c r="I39" s="4">
        <f t="shared" si="0"/>
        <v>0</v>
      </c>
      <c r="J39" s="4">
        <f t="shared" si="4"/>
        <v>17694.614483576268</v>
      </c>
      <c r="K39" s="4">
        <f t="shared" si="1"/>
        <v>2312984.3515126267</v>
      </c>
      <c r="L39" s="4">
        <f t="shared" si="5"/>
        <v>88.473072417882065</v>
      </c>
      <c r="M39" s="4">
        <f t="shared" si="6"/>
        <v>1061.6768690145761</v>
      </c>
      <c r="N39" s="4">
        <f t="shared" si="10"/>
        <v>11476.448685145253</v>
      </c>
      <c r="O39" s="4">
        <f t="shared" si="7"/>
        <v>137717.38422174304</v>
      </c>
      <c r="P39" s="4">
        <f t="shared" si="2"/>
        <v>2463328.3343609478</v>
      </c>
      <c r="Q39" s="4">
        <f>P39-G39</f>
        <v>53274.110480444971</v>
      </c>
      <c r="R39" s="8">
        <f t="shared" si="8"/>
        <v>0.01</v>
      </c>
      <c r="S39" s="6">
        <f t="shared" si="9"/>
        <v>1.4999999999999994E-2</v>
      </c>
      <c r="U39" s="6">
        <v>8.1856038138399256E-2</v>
      </c>
    </row>
    <row r="40" spans="1:21" x14ac:dyDescent="0.35">
      <c r="A40">
        <v>37</v>
      </c>
      <c r="B40">
        <v>91</v>
      </c>
      <c r="D40" s="4">
        <v>0</v>
      </c>
      <c r="E40" s="4">
        <v>0</v>
      </c>
      <c r="F40" s="4">
        <f t="shared" si="12"/>
        <v>120502.71119402515</v>
      </c>
      <c r="G40" s="4">
        <f t="shared" si="13"/>
        <v>2530556.9350745282</v>
      </c>
      <c r="H40">
        <f>-13019*(1.1)</f>
        <v>-14320.900000000001</v>
      </c>
      <c r="I40" s="4">
        <f t="shared" si="0"/>
        <v>0</v>
      </c>
      <c r="J40" s="4">
        <f t="shared" si="4"/>
        <v>38953.210480445065</v>
      </c>
      <c r="K40" s="4">
        <f t="shared" si="1"/>
        <v>2449007.4343609479</v>
      </c>
      <c r="L40" s="4">
        <f t="shared" si="5"/>
        <v>194.76605240222432</v>
      </c>
      <c r="M40" s="4">
        <f t="shared" si="6"/>
        <v>2337.1926288267036</v>
      </c>
      <c r="N40" s="4">
        <f t="shared" si="10"/>
        <v>12050.271119402514</v>
      </c>
      <c r="O40" s="4">
        <f t="shared" si="7"/>
        <v>144603.25343283016</v>
      </c>
      <c r="P40" s="4">
        <f t="shared" si="2"/>
        <v>2608192.9175944095</v>
      </c>
      <c r="Q40" s="4">
        <f t="shared" si="3"/>
        <v>77635.982519881334</v>
      </c>
      <c r="R40" s="8">
        <f t="shared" si="8"/>
        <v>9.9999999999999915E-3</v>
      </c>
      <c r="S40" s="6">
        <f t="shared" si="9"/>
        <v>1.4999999999999993E-2</v>
      </c>
      <c r="U40" s="6">
        <v>8.3263016412636892E-2</v>
      </c>
    </row>
    <row r="41" spans="1:21" x14ac:dyDescent="0.35">
      <c r="A41">
        <v>38</v>
      </c>
      <c r="B41">
        <v>92</v>
      </c>
      <c r="D41" s="4">
        <v>0</v>
      </c>
      <c r="E41" s="4">
        <v>0</v>
      </c>
      <c r="F41" s="4">
        <f t="shared" si="12"/>
        <v>126527.84675372642</v>
      </c>
      <c r="G41" s="4">
        <f t="shared" si="13"/>
        <v>2657084.7818282545</v>
      </c>
      <c r="H41">
        <f>-11445*(1.1)</f>
        <v>-12589.500000000002</v>
      </c>
      <c r="I41" s="4">
        <f t="shared" si="0"/>
        <v>0</v>
      </c>
      <c r="J41" s="4">
        <f t="shared" si="4"/>
        <v>65046.482519881334</v>
      </c>
      <c r="K41" s="4">
        <f t="shared" si="1"/>
        <v>2595603.4175944095</v>
      </c>
      <c r="L41" s="4">
        <f t="shared" si="5"/>
        <v>325.23241259940755</v>
      </c>
      <c r="M41" s="4">
        <f t="shared" si="6"/>
        <v>3902.7889511928797</v>
      </c>
      <c r="N41" s="4">
        <f t="shared" si="10"/>
        <v>12652.784675372641</v>
      </c>
      <c r="O41" s="4">
        <f t="shared" si="7"/>
        <v>151833.41610447169</v>
      </c>
      <c r="P41" s="4">
        <f t="shared" si="2"/>
        <v>2764317.6397380466</v>
      </c>
      <c r="Q41" s="4">
        <f t="shared" si="3"/>
        <v>107232.8579097921</v>
      </c>
      <c r="R41" s="8">
        <f t="shared" si="8"/>
        <v>9.9999999999999933E-3</v>
      </c>
      <c r="S41" s="6">
        <f t="shared" si="9"/>
        <v>1.4999999999999996E-2</v>
      </c>
      <c r="U41" s="6">
        <v>8.4575041596673284E-2</v>
      </c>
    </row>
    <row r="42" spans="1:21" x14ac:dyDescent="0.35">
      <c r="A42">
        <v>39</v>
      </c>
      <c r="B42">
        <v>93</v>
      </c>
      <c r="D42" s="4">
        <v>0</v>
      </c>
      <c r="E42" s="4">
        <v>0</v>
      </c>
      <c r="F42" s="4">
        <f t="shared" si="12"/>
        <v>132854.23909141272</v>
      </c>
      <c r="G42" s="4">
        <f t="shared" si="13"/>
        <v>2789939.0209196671</v>
      </c>
      <c r="H42">
        <f>-8774*(1.1)</f>
        <v>-9651.4000000000015</v>
      </c>
      <c r="I42" s="4">
        <f t="shared" si="0"/>
        <v>0</v>
      </c>
      <c r="J42" s="4">
        <f t="shared" si="4"/>
        <v>97581.457909792196</v>
      </c>
      <c r="K42" s="4">
        <f t="shared" si="1"/>
        <v>2754666.2397380467</v>
      </c>
      <c r="L42" s="4">
        <f t="shared" si="5"/>
        <v>487.90728954896144</v>
      </c>
      <c r="M42" s="4">
        <f t="shared" si="6"/>
        <v>5854.8874745875319</v>
      </c>
      <c r="N42" s="4">
        <f t="shared" si="10"/>
        <v>13285.423909141273</v>
      </c>
      <c r="O42" s="4">
        <f t="shared" si="7"/>
        <v>159425.08690969527</v>
      </c>
      <c r="P42" s="4">
        <f t="shared" si="2"/>
        <v>2933719.5453210194</v>
      </c>
      <c r="Q42" s="4">
        <f t="shared" si="3"/>
        <v>143780.52440135228</v>
      </c>
      <c r="R42" s="8">
        <f t="shared" si="8"/>
        <v>1.0000000000000002E-2</v>
      </c>
      <c r="S42" s="6">
        <f t="shared" si="9"/>
        <v>1.5000000000000003E-2</v>
      </c>
      <c r="U42" s="6">
        <v>8.580556178008103E-2</v>
      </c>
    </row>
    <row r="43" spans="1:21" x14ac:dyDescent="0.35">
      <c r="A43">
        <v>40</v>
      </c>
      <c r="B43">
        <v>94</v>
      </c>
      <c r="D43" s="4">
        <v>0</v>
      </c>
      <c r="E43" s="4">
        <v>0</v>
      </c>
      <c r="F43" s="4">
        <f t="shared" si="12"/>
        <v>139496.95104598335</v>
      </c>
      <c r="G43" s="4">
        <f t="shared" si="13"/>
        <v>2929435.9719656506</v>
      </c>
      <c r="H43">
        <f>-4698*(1.1)</f>
        <v>-5167.8</v>
      </c>
      <c r="I43" s="4">
        <f t="shared" si="0"/>
        <v>0</v>
      </c>
      <c r="J43" s="4">
        <f t="shared" si="4"/>
        <v>138612.72440135246</v>
      </c>
      <c r="K43" s="4">
        <f t="shared" si="1"/>
        <v>2928551.7453210196</v>
      </c>
      <c r="L43" s="4">
        <f t="shared" si="5"/>
        <v>693.06362200676176</v>
      </c>
      <c r="M43" s="4">
        <f t="shared" si="6"/>
        <v>8316.7634640811466</v>
      </c>
      <c r="N43" s="4">
        <f t="shared" si="10"/>
        <v>13949.695104598335</v>
      </c>
      <c r="O43" s="4">
        <f t="shared" si="7"/>
        <v>167396.34125518001</v>
      </c>
      <c r="P43" s="4">
        <f t="shared" si="2"/>
        <v>3118907.6087668859</v>
      </c>
      <c r="Q43" s="4">
        <f t="shared" si="3"/>
        <v>189471.63680123538</v>
      </c>
      <c r="R43" s="8">
        <f t="shared" si="8"/>
        <v>9.999999999999995E-3</v>
      </c>
      <c r="S43" s="6">
        <f t="shared" si="9"/>
        <v>1.4999999999999994E-2</v>
      </c>
      <c r="U43" s="6">
        <v>8.6966691460090617E-2</v>
      </c>
    </row>
    <row r="44" spans="1:21" x14ac:dyDescent="0.35">
      <c r="A44">
        <v>41</v>
      </c>
      <c r="B44">
        <v>95</v>
      </c>
      <c r="D44" s="4">
        <v>0</v>
      </c>
      <c r="E44" s="4">
        <v>0</v>
      </c>
      <c r="F44" s="4">
        <f t="shared" si="12"/>
        <v>146471.79859828253</v>
      </c>
      <c r="G44" s="4">
        <f t="shared" si="13"/>
        <v>3075907.7705639331</v>
      </c>
      <c r="H44">
        <f t="shared" ref="H44:H69" si="14">-60*(1.1)</f>
        <v>-66</v>
      </c>
      <c r="I44" s="4">
        <f t="shared" si="0"/>
        <v>0</v>
      </c>
      <c r="J44" s="4">
        <f t="shared" si="4"/>
        <v>189405.63680123538</v>
      </c>
      <c r="K44" s="4">
        <f t="shared" si="1"/>
        <v>3118841.6087668859</v>
      </c>
      <c r="L44" s="4">
        <f t="shared" si="5"/>
        <v>947.02818400617707</v>
      </c>
      <c r="M44" s="4">
        <f t="shared" si="6"/>
        <v>11364.338208074123</v>
      </c>
      <c r="N44" s="4">
        <f t="shared" si="10"/>
        <v>14647.179859828253</v>
      </c>
      <c r="O44" s="4">
        <f t="shared" si="7"/>
        <v>175766.15831793903</v>
      </c>
      <c r="P44" s="4">
        <f t="shared" si="2"/>
        <v>3321566.3133367333</v>
      </c>
      <c r="Q44" s="4">
        <f t="shared" si="3"/>
        <v>245658.5427728002</v>
      </c>
      <c r="R44" s="8">
        <f t="shared" si="8"/>
        <v>9.9999999999999967E-3</v>
      </c>
      <c r="S44" s="6">
        <f t="shared" si="9"/>
        <v>1.4999999999999999E-2</v>
      </c>
      <c r="U44" s="6">
        <v>8.8061338863395955E-2</v>
      </c>
    </row>
    <row r="45" spans="1:21" x14ac:dyDescent="0.35">
      <c r="A45">
        <v>42</v>
      </c>
      <c r="B45">
        <v>96</v>
      </c>
      <c r="D45" s="4">
        <v>0</v>
      </c>
      <c r="E45" s="4">
        <v>0</v>
      </c>
      <c r="F45" s="4">
        <f t="shared" si="12"/>
        <v>153795.38852819666</v>
      </c>
      <c r="G45" s="4">
        <f t="shared" si="13"/>
        <v>3229703.1590921297</v>
      </c>
      <c r="H45">
        <f t="shared" si="14"/>
        <v>-66</v>
      </c>
      <c r="I45" s="4">
        <f t="shared" si="0"/>
        <v>0</v>
      </c>
      <c r="J45" s="4">
        <f t="shared" si="4"/>
        <v>245592.5427728002</v>
      </c>
      <c r="K45" s="4">
        <f t="shared" si="1"/>
        <v>3321500.3133367333</v>
      </c>
      <c r="L45" s="4">
        <f t="shared" si="5"/>
        <v>1227.9627138640012</v>
      </c>
      <c r="M45" s="4">
        <f t="shared" si="6"/>
        <v>14735.552566368011</v>
      </c>
      <c r="N45" s="4">
        <f t="shared" si="10"/>
        <v>15379.538852819665</v>
      </c>
      <c r="O45" s="4">
        <f t="shared" si="7"/>
        <v>184554.46623383596</v>
      </c>
      <c r="P45" s="4">
        <f t="shared" si="2"/>
        <v>3537397.8337036213</v>
      </c>
      <c r="Q45" s="4">
        <f t="shared" si="3"/>
        <v>307694.67461149162</v>
      </c>
      <c r="R45" s="8">
        <f t="shared" si="8"/>
        <v>9.9999999999999898E-3</v>
      </c>
      <c r="S45" s="6">
        <f t="shared" si="9"/>
        <v>1.4999999999999994E-2</v>
      </c>
      <c r="U45" s="6">
        <v>8.9062358975624312E-2</v>
      </c>
    </row>
    <row r="46" spans="1:21" x14ac:dyDescent="0.35">
      <c r="A46">
        <v>43</v>
      </c>
      <c r="B46">
        <v>97</v>
      </c>
      <c r="D46" s="4">
        <v>0</v>
      </c>
      <c r="E46" s="4">
        <v>0</v>
      </c>
      <c r="F46" s="4">
        <f t="shared" si="12"/>
        <v>161485.15795460649</v>
      </c>
      <c r="G46" s="4">
        <f t="shared" si="13"/>
        <v>3391188.3170467364</v>
      </c>
      <c r="H46">
        <f t="shared" si="14"/>
        <v>-66</v>
      </c>
      <c r="I46" s="4">
        <f t="shared" si="0"/>
        <v>0</v>
      </c>
      <c r="J46" s="4">
        <f t="shared" si="4"/>
        <v>307628.67461149162</v>
      </c>
      <c r="K46" s="4">
        <f t="shared" si="1"/>
        <v>3537331.8337036213</v>
      </c>
      <c r="L46" s="4">
        <f t="shared" si="5"/>
        <v>1538.143373057457</v>
      </c>
      <c r="M46" s="4">
        <f t="shared" si="6"/>
        <v>18457.720476689497</v>
      </c>
      <c r="N46" s="4">
        <f t="shared" si="10"/>
        <v>16148.515795460649</v>
      </c>
      <c r="O46" s="4">
        <f t="shared" si="7"/>
        <v>193782.18954552777</v>
      </c>
      <c r="P46" s="4">
        <f t="shared" si="2"/>
        <v>3767258.4028943558</v>
      </c>
      <c r="Q46" s="4">
        <f t="shared" si="3"/>
        <v>376070.08584761946</v>
      </c>
      <c r="R46" s="8">
        <f t="shared" si="8"/>
        <v>9.999999999999995E-3</v>
      </c>
      <c r="S46" s="6">
        <f t="shared" si="9"/>
        <v>1.4999999999999993E-2</v>
      </c>
      <c r="U46" s="6">
        <v>8.9978728100499117E-2</v>
      </c>
    </row>
    <row r="47" spans="1:21" x14ac:dyDescent="0.35">
      <c r="A47">
        <v>44</v>
      </c>
      <c r="B47">
        <v>98</v>
      </c>
      <c r="D47" s="4">
        <v>0</v>
      </c>
      <c r="E47" s="4">
        <v>0</v>
      </c>
      <c r="F47" s="4">
        <f t="shared" si="12"/>
        <v>169559.41585233682</v>
      </c>
      <c r="G47" s="4">
        <f t="shared" si="13"/>
        <v>3560747.732899073</v>
      </c>
      <c r="H47">
        <f t="shared" si="14"/>
        <v>-66</v>
      </c>
      <c r="I47" s="4">
        <f t="shared" si="0"/>
        <v>0</v>
      </c>
      <c r="J47" s="4">
        <f t="shared" si="4"/>
        <v>376004.08584761946</v>
      </c>
      <c r="K47" s="4">
        <f t="shared" si="1"/>
        <v>3767192.4028943558</v>
      </c>
      <c r="L47" s="4">
        <f t="shared" si="5"/>
        <v>1880.0204292380979</v>
      </c>
      <c r="M47" s="4">
        <f t="shared" si="6"/>
        <v>22560.245150857165</v>
      </c>
      <c r="N47" s="4">
        <f t="shared" si="10"/>
        <v>16955.941585233682</v>
      </c>
      <c r="O47" s="4">
        <f t="shared" si="7"/>
        <v>203471.29902280419</v>
      </c>
      <c r="P47" s="4">
        <f t="shared" si="2"/>
        <v>4012059.9090824891</v>
      </c>
      <c r="Q47" s="4">
        <f t="shared" si="3"/>
        <v>451312.17618341604</v>
      </c>
      <c r="R47" s="8">
        <f t="shared" si="8"/>
        <v>0.01</v>
      </c>
      <c r="S47" s="6">
        <f t="shared" si="9"/>
        <v>1.4999999999999996E-2</v>
      </c>
      <c r="U47" s="6">
        <v>9.0818475459877979E-2</v>
      </c>
    </row>
    <row r="48" spans="1:21" x14ac:dyDescent="0.35">
      <c r="A48">
        <v>45</v>
      </c>
      <c r="B48">
        <v>99</v>
      </c>
      <c r="D48" s="4">
        <v>0</v>
      </c>
      <c r="E48" s="4">
        <v>0</v>
      </c>
      <c r="F48" s="4">
        <f t="shared" si="12"/>
        <v>178037.38664495366</v>
      </c>
      <c r="G48" s="4">
        <f t="shared" si="13"/>
        <v>3738785.1195440269</v>
      </c>
      <c r="H48">
        <f t="shared" si="14"/>
        <v>-66</v>
      </c>
      <c r="I48" s="4">
        <f t="shared" si="0"/>
        <v>0</v>
      </c>
      <c r="J48" s="4">
        <f t="shared" si="4"/>
        <v>451246.17618341604</v>
      </c>
      <c r="K48" s="4">
        <f t="shared" si="1"/>
        <v>4011993.9090824891</v>
      </c>
      <c r="L48" s="4">
        <f t="shared" si="5"/>
        <v>2256.230880917079</v>
      </c>
      <c r="M48" s="4">
        <f t="shared" si="6"/>
        <v>27074.770571004963</v>
      </c>
      <c r="N48" s="4">
        <f t="shared" si="10"/>
        <v>17803.738664495366</v>
      </c>
      <c r="O48" s="4">
        <f t="shared" si="7"/>
        <v>213644.86397394436</v>
      </c>
      <c r="P48" s="4">
        <f t="shared" si="2"/>
        <v>4272773.5131728509</v>
      </c>
      <c r="Q48" s="4">
        <f t="shared" si="3"/>
        <v>533988.39362882404</v>
      </c>
      <c r="R48" s="8">
        <f t="shared" si="8"/>
        <v>9.9999999999999915E-3</v>
      </c>
      <c r="S48" s="6">
        <f t="shared" si="9"/>
        <v>1.4999999999999996E-2</v>
      </c>
      <c r="U48" s="6">
        <v>9.1588784618272356E-2</v>
      </c>
    </row>
    <row r="49" spans="1:21" x14ac:dyDescent="0.35">
      <c r="A49">
        <v>46</v>
      </c>
      <c r="B49">
        <v>100</v>
      </c>
      <c r="D49" s="4">
        <v>0</v>
      </c>
      <c r="E49" s="4">
        <v>0</v>
      </c>
      <c r="F49" s="4">
        <f t="shared" si="12"/>
        <v>186939.25597720136</v>
      </c>
      <c r="G49" s="4">
        <f t="shared" si="13"/>
        <v>3925724.3755212282</v>
      </c>
      <c r="H49">
        <f t="shared" si="14"/>
        <v>-66</v>
      </c>
      <c r="I49" s="4">
        <f t="shared" si="0"/>
        <v>0</v>
      </c>
      <c r="J49" s="4">
        <f t="shared" si="4"/>
        <v>533922.39362882404</v>
      </c>
      <c r="K49" s="4">
        <f t="shared" si="1"/>
        <v>4272707.5131728509</v>
      </c>
      <c r="L49" s="4">
        <f t="shared" si="5"/>
        <v>2669.611968144121</v>
      </c>
      <c r="M49" s="4">
        <f t="shared" si="6"/>
        <v>32035.343617729442</v>
      </c>
      <c r="N49" s="4">
        <f t="shared" si="10"/>
        <v>18693.925597720136</v>
      </c>
      <c r="O49" s="4">
        <f t="shared" si="7"/>
        <v>224327.10717264161</v>
      </c>
      <c r="P49" s="4">
        <f t="shared" si="2"/>
        <v>4550433.5015290864</v>
      </c>
      <c r="Q49" s="4">
        <f t="shared" si="3"/>
        <v>624709.1260078582</v>
      </c>
      <c r="R49" s="8">
        <f t="shared" si="8"/>
        <v>9.999999999999995E-3</v>
      </c>
      <c r="S49" s="6">
        <f t="shared" si="9"/>
        <v>1.4999999999999996E-2</v>
      </c>
      <c r="U49" s="6">
        <v>9.2296086234503916E-2</v>
      </c>
    </row>
    <row r="50" spans="1:21" x14ac:dyDescent="0.35">
      <c r="A50">
        <v>47</v>
      </c>
      <c r="B50">
        <v>101</v>
      </c>
      <c r="D50" s="4">
        <v>0</v>
      </c>
      <c r="E50" s="4">
        <v>0</v>
      </c>
      <c r="F50" s="4">
        <f t="shared" si="12"/>
        <v>196286.21877606143</v>
      </c>
      <c r="G50" s="4">
        <f t="shared" si="13"/>
        <v>4122010.5942972898</v>
      </c>
      <c r="H50">
        <f t="shared" si="14"/>
        <v>-66</v>
      </c>
      <c r="I50" s="4">
        <f t="shared" si="0"/>
        <v>0</v>
      </c>
      <c r="J50" s="4">
        <f t="shared" si="4"/>
        <v>624643.1260078582</v>
      </c>
      <c r="K50" s="4">
        <f t="shared" si="1"/>
        <v>4550367.5015290864</v>
      </c>
      <c r="L50" s="4">
        <f t="shared" si="5"/>
        <v>3123.2156300392899</v>
      </c>
      <c r="M50" s="4">
        <f t="shared" si="6"/>
        <v>37478.587560471489</v>
      </c>
      <c r="N50" s="4">
        <f t="shared" si="10"/>
        <v>19628.62187760614</v>
      </c>
      <c r="O50" s="4">
        <f t="shared" si="7"/>
        <v>235543.46253127369</v>
      </c>
      <c r="P50" s="4">
        <f t="shared" si="2"/>
        <v>4846141.3891284764</v>
      </c>
      <c r="Q50" s="4">
        <f t="shared" si="3"/>
        <v>724130.79483118653</v>
      </c>
      <c r="R50" s="8">
        <f t="shared" si="8"/>
        <v>9.9999999999999933E-3</v>
      </c>
      <c r="S50" s="6">
        <f t="shared" si="9"/>
        <v>1.4999999999999994E-2</v>
      </c>
      <c r="U50" s="6">
        <v>9.2946141804156834E-2</v>
      </c>
    </row>
    <row r="51" spans="1:21" x14ac:dyDescent="0.35">
      <c r="A51">
        <v>48</v>
      </c>
      <c r="B51">
        <v>102</v>
      </c>
      <c r="D51" s="4">
        <v>0</v>
      </c>
      <c r="E51" s="4">
        <v>0</v>
      </c>
      <c r="F51" s="4">
        <f t="shared" si="12"/>
        <v>206100.5297148645</v>
      </c>
      <c r="G51" s="4">
        <f t="shared" si="13"/>
        <v>4328111.1240121545</v>
      </c>
      <c r="H51">
        <f t="shared" si="14"/>
        <v>-66</v>
      </c>
      <c r="I51" s="4">
        <f t="shared" si="0"/>
        <v>0</v>
      </c>
      <c r="J51" s="4">
        <f t="shared" si="4"/>
        <v>724064.79483118653</v>
      </c>
      <c r="K51" s="4">
        <f t="shared" si="1"/>
        <v>4846075.3891284764</v>
      </c>
      <c r="L51" s="4">
        <f t="shared" si="5"/>
        <v>3620.3239741559314</v>
      </c>
      <c r="M51" s="4">
        <f t="shared" si="6"/>
        <v>43443.88768987119</v>
      </c>
      <c r="N51" s="4">
        <f t="shared" si="10"/>
        <v>20610.05297148645</v>
      </c>
      <c r="O51" s="4">
        <f t="shared" si="7"/>
        <v>247320.63565783738</v>
      </c>
      <c r="P51" s="4">
        <f t="shared" si="2"/>
        <v>5161070.2894218266</v>
      </c>
      <c r="Q51" s="4">
        <f t="shared" si="3"/>
        <v>832959.16540967207</v>
      </c>
      <c r="R51" s="8">
        <f t="shared" si="8"/>
        <v>9.999999999999995E-3</v>
      </c>
      <c r="S51" s="6">
        <f t="shared" si="9"/>
        <v>1.4999999999999999E-2</v>
      </c>
      <c r="U51" s="6">
        <v>9.3544118624023342E-2</v>
      </c>
    </row>
    <row r="52" spans="1:21" x14ac:dyDescent="0.35">
      <c r="A52">
        <v>49</v>
      </c>
      <c r="B52">
        <v>103</v>
      </c>
      <c r="D52" s="4">
        <v>0</v>
      </c>
      <c r="E52" s="4">
        <v>0</v>
      </c>
      <c r="F52" s="4">
        <f t="shared" si="12"/>
        <v>216405.55620060774</v>
      </c>
      <c r="G52" s="4">
        <f t="shared" si="13"/>
        <v>4544516.6802127622</v>
      </c>
      <c r="H52">
        <f t="shared" si="14"/>
        <v>-66</v>
      </c>
      <c r="I52" s="4">
        <f t="shared" si="0"/>
        <v>0</v>
      </c>
      <c r="J52" s="4">
        <f t="shared" si="4"/>
        <v>832893.16540967207</v>
      </c>
      <c r="K52" s="4">
        <f t="shared" si="1"/>
        <v>5161004.2894218266</v>
      </c>
      <c r="L52" s="4">
        <f t="shared" si="5"/>
        <v>4164.4658270483606</v>
      </c>
      <c r="M52" s="4">
        <f t="shared" si="6"/>
        <v>49973.589924580323</v>
      </c>
      <c r="N52" s="4">
        <f t="shared" si="10"/>
        <v>21640.555620060772</v>
      </c>
      <c r="O52" s="4">
        <f t="shared" si="7"/>
        <v>259686.66744072927</v>
      </c>
      <c r="P52" s="4">
        <f t="shared" si="2"/>
        <v>5496469.5682342462</v>
      </c>
      <c r="Q52" s="4">
        <f t="shared" si="3"/>
        <v>951952.88802148402</v>
      </c>
      <c r="R52" s="8">
        <f t="shared" si="8"/>
        <v>9.9999999999999985E-3</v>
      </c>
      <c r="S52" s="6">
        <f t="shared" si="9"/>
        <v>1.4999999999999996E-2</v>
      </c>
      <c r="U52" s="6">
        <v>9.4094656502725638E-2</v>
      </c>
    </row>
    <row r="53" spans="1:21" x14ac:dyDescent="0.35">
      <c r="A53">
        <v>50</v>
      </c>
      <c r="B53">
        <v>104</v>
      </c>
      <c r="D53" s="4">
        <v>0</v>
      </c>
      <c r="E53" s="4">
        <v>0</v>
      </c>
      <c r="F53" s="4">
        <f t="shared" si="12"/>
        <v>227225.83401063812</v>
      </c>
      <c r="G53" s="4">
        <f t="shared" si="13"/>
        <v>4771742.5142234005</v>
      </c>
      <c r="H53">
        <f t="shared" si="14"/>
        <v>-66</v>
      </c>
      <c r="I53" s="4">
        <f t="shared" si="0"/>
        <v>0</v>
      </c>
      <c r="J53" s="4">
        <f t="shared" si="4"/>
        <v>951886.88802148402</v>
      </c>
      <c r="K53" s="4">
        <f t="shared" si="1"/>
        <v>5496403.5682342462</v>
      </c>
      <c r="L53" s="4">
        <f t="shared" si="5"/>
        <v>4759.4344401074186</v>
      </c>
      <c r="M53" s="4">
        <f t="shared" si="6"/>
        <v>57113.213281289041</v>
      </c>
      <c r="N53" s="4">
        <f t="shared" si="10"/>
        <v>22722.58340106381</v>
      </c>
      <c r="O53" s="4">
        <f t="shared" si="7"/>
        <v>272671.00081276573</v>
      </c>
      <c r="P53" s="4">
        <f t="shared" si="2"/>
        <v>5853669.8001694717</v>
      </c>
      <c r="Q53" s="4">
        <f t="shared" si="3"/>
        <v>1081927.2859460711</v>
      </c>
      <c r="R53" s="8">
        <f t="shared" si="8"/>
        <v>9.9999999999999985E-3</v>
      </c>
      <c r="S53" s="6">
        <f t="shared" si="9"/>
        <v>1.4999999999999998E-2</v>
      </c>
      <c r="U53" s="6">
        <v>9.4601926892226684E-2</v>
      </c>
    </row>
    <row r="54" spans="1:21" x14ac:dyDescent="0.35">
      <c r="A54">
        <v>51</v>
      </c>
      <c r="B54">
        <v>105</v>
      </c>
      <c r="D54" s="4">
        <v>0</v>
      </c>
      <c r="E54" s="4">
        <v>0</v>
      </c>
      <c r="F54" s="4">
        <f t="shared" si="12"/>
        <v>238587.12571117003</v>
      </c>
      <c r="G54" s="4">
        <f t="shared" si="13"/>
        <v>5010329.6399345705</v>
      </c>
      <c r="H54">
        <f t="shared" si="14"/>
        <v>-66</v>
      </c>
      <c r="I54" s="4">
        <f t="shared" si="0"/>
        <v>0</v>
      </c>
      <c r="J54" s="4">
        <f t="shared" si="4"/>
        <v>1081861.2859460711</v>
      </c>
      <c r="K54" s="4">
        <f t="shared" si="1"/>
        <v>5853603.8001694717</v>
      </c>
      <c r="L54" s="4">
        <f t="shared" si="5"/>
        <v>5409.3064297303563</v>
      </c>
      <c r="M54" s="4">
        <f t="shared" si="6"/>
        <v>64911.677156764265</v>
      </c>
      <c r="N54" s="4">
        <f t="shared" si="10"/>
        <v>23858.712571117005</v>
      </c>
      <c r="O54" s="4">
        <f t="shared" si="7"/>
        <v>286304.55085340404</v>
      </c>
      <c r="P54" s="4">
        <f t="shared" si="2"/>
        <v>6234088.0471804878</v>
      </c>
      <c r="Q54" s="4">
        <f t="shared" si="3"/>
        <v>1223758.4072459172</v>
      </c>
      <c r="R54" s="8">
        <f t="shared" si="8"/>
        <v>1.0000000000000002E-2</v>
      </c>
      <c r="S54" s="6">
        <f t="shared" si="9"/>
        <v>1.4999999999999998E-2</v>
      </c>
      <c r="U54" s="6">
        <v>9.506968516385772E-2</v>
      </c>
    </row>
    <row r="55" spans="1:21" x14ac:dyDescent="0.35">
      <c r="A55">
        <v>52</v>
      </c>
      <c r="B55">
        <v>106</v>
      </c>
      <c r="D55" s="4">
        <v>0</v>
      </c>
      <c r="E55" s="4">
        <v>0</v>
      </c>
      <c r="F55" s="4">
        <f t="shared" si="12"/>
        <v>250516.48199672854</v>
      </c>
      <c r="G55" s="4">
        <f t="shared" si="13"/>
        <v>5260846.1219312986</v>
      </c>
      <c r="H55">
        <f t="shared" si="14"/>
        <v>-66</v>
      </c>
      <c r="I55" s="4">
        <f t="shared" si="0"/>
        <v>0</v>
      </c>
      <c r="J55" s="4">
        <f t="shared" si="4"/>
        <v>1223692.4072459172</v>
      </c>
      <c r="K55" s="4">
        <f t="shared" si="1"/>
        <v>6234022.0471804878</v>
      </c>
      <c r="L55" s="4">
        <f t="shared" si="5"/>
        <v>6118.4620362295891</v>
      </c>
      <c r="M55" s="4">
        <f t="shared" si="6"/>
        <v>73421.544434755036</v>
      </c>
      <c r="N55" s="4">
        <f t="shared" si="10"/>
        <v>25051.648199672854</v>
      </c>
      <c r="O55" s="4">
        <f t="shared" si="7"/>
        <v>300619.77839607419</v>
      </c>
      <c r="P55" s="4">
        <f t="shared" si="2"/>
        <v>6639233.4802472191</v>
      </c>
      <c r="Q55" s="4">
        <f t="shared" si="3"/>
        <v>1378387.3583159205</v>
      </c>
      <c r="R55" s="8">
        <f t="shared" si="8"/>
        <v>9.9999999999999898E-3</v>
      </c>
      <c r="S55" s="6">
        <f t="shared" si="9"/>
        <v>1.4999999999999993E-2</v>
      </c>
      <c r="U55" s="6">
        <v>9.55013167531511E-2</v>
      </c>
    </row>
    <row r="56" spans="1:21" x14ac:dyDescent="0.35">
      <c r="A56">
        <v>53</v>
      </c>
      <c r="B56">
        <v>107</v>
      </c>
      <c r="D56" s="4">
        <v>0</v>
      </c>
      <c r="E56" s="4">
        <v>0</v>
      </c>
      <c r="F56" s="4">
        <f t="shared" si="12"/>
        <v>263042.30609656492</v>
      </c>
      <c r="G56" s="4">
        <f t="shared" si="13"/>
        <v>5523888.4280278636</v>
      </c>
      <c r="H56">
        <f t="shared" si="14"/>
        <v>-66</v>
      </c>
      <c r="I56" s="4">
        <f t="shared" si="0"/>
        <v>0</v>
      </c>
      <c r="J56" s="4">
        <f t="shared" si="4"/>
        <v>1378321.3583159205</v>
      </c>
      <c r="K56" s="4">
        <f t="shared" si="1"/>
        <v>6639167.4802472191</v>
      </c>
      <c r="L56" s="4">
        <f t="shared" si="5"/>
        <v>6891.606791579602</v>
      </c>
      <c r="M56" s="4">
        <f t="shared" si="6"/>
        <v>82699.281498955228</v>
      </c>
      <c r="N56" s="4">
        <f t="shared" si="10"/>
        <v>26304.230609656493</v>
      </c>
      <c r="O56" s="4">
        <f t="shared" si="7"/>
        <v>315650.76731587789</v>
      </c>
      <c r="P56" s="4">
        <f t="shared" si="2"/>
        <v>7070713.3664632877</v>
      </c>
      <c r="Q56" s="4">
        <f t="shared" si="3"/>
        <v>1546824.9384354241</v>
      </c>
      <c r="R56" s="8">
        <f t="shared" si="8"/>
        <v>9.9999999999999967E-3</v>
      </c>
      <c r="S56" s="6">
        <f t="shared" si="9"/>
        <v>1.4999999999999996E-2</v>
      </c>
      <c r="U56" s="6">
        <v>9.5899877858561799E-2</v>
      </c>
    </row>
    <row r="57" spans="1:21" x14ac:dyDescent="0.35">
      <c r="A57">
        <v>54</v>
      </c>
      <c r="B57">
        <v>108</v>
      </c>
      <c r="D57" s="4">
        <v>0</v>
      </c>
      <c r="E57" s="4">
        <v>0</v>
      </c>
      <c r="F57" s="4">
        <f t="shared" si="12"/>
        <v>276194.42140139319</v>
      </c>
      <c r="G57" s="4">
        <f t="shared" si="13"/>
        <v>5800082.8494292572</v>
      </c>
      <c r="H57">
        <f t="shared" si="14"/>
        <v>-66</v>
      </c>
      <c r="I57" s="4">
        <f t="shared" si="0"/>
        <v>0</v>
      </c>
      <c r="J57" s="4">
        <f t="shared" si="4"/>
        <v>1546758.9384354241</v>
      </c>
      <c r="K57" s="4">
        <f t="shared" si="1"/>
        <v>7070647.3664632877</v>
      </c>
      <c r="L57" s="4">
        <f t="shared" si="5"/>
        <v>7733.7946921771181</v>
      </c>
      <c r="M57" s="4">
        <f t="shared" si="6"/>
        <v>92805.536306125447</v>
      </c>
      <c r="N57" s="4">
        <f t="shared" si="10"/>
        <v>27619.442140139319</v>
      </c>
      <c r="O57" s="4">
        <f t="shared" si="7"/>
        <v>331433.30568167183</v>
      </c>
      <c r="P57" s="4">
        <f t="shared" si="2"/>
        <v>7530239.4452834018</v>
      </c>
      <c r="Q57" s="4">
        <f t="shared" si="3"/>
        <v>1730156.5958541445</v>
      </c>
      <c r="R57" s="8">
        <f t="shared" si="8"/>
        <v>0.01</v>
      </c>
      <c r="S57" s="6">
        <f t="shared" si="9"/>
        <v>1.4999999999999996E-2</v>
      </c>
      <c r="U57" s="6">
        <v>9.6268131328570483E-2</v>
      </c>
    </row>
    <row r="58" spans="1:21" x14ac:dyDescent="0.35">
      <c r="A58">
        <v>55</v>
      </c>
      <c r="B58">
        <v>109</v>
      </c>
      <c r="D58" s="4">
        <v>0</v>
      </c>
      <c r="E58" s="4">
        <v>0</v>
      </c>
      <c r="F58" s="4">
        <f t="shared" si="12"/>
        <v>290004.1424714629</v>
      </c>
      <c r="G58" s="4">
        <f t="shared" si="13"/>
        <v>6090086.9919007197</v>
      </c>
      <c r="H58">
        <f t="shared" si="14"/>
        <v>-66</v>
      </c>
      <c r="I58" s="4">
        <f t="shared" si="0"/>
        <v>0</v>
      </c>
      <c r="J58" s="4">
        <f t="shared" si="4"/>
        <v>1730090.5958541445</v>
      </c>
      <c r="K58" s="4">
        <f t="shared" si="1"/>
        <v>7530173.4452834018</v>
      </c>
      <c r="L58" s="4">
        <f t="shared" si="5"/>
        <v>8650.4529792707253</v>
      </c>
      <c r="M58" s="4">
        <f t="shared" si="6"/>
        <v>103805.43575124867</v>
      </c>
      <c r="N58" s="4">
        <f t="shared" si="10"/>
        <v>29000.414247146287</v>
      </c>
      <c r="O58" s="4">
        <f t="shared" si="7"/>
        <v>348004.9709657554</v>
      </c>
      <c r="P58" s="4">
        <f t="shared" si="2"/>
        <v>8019634.7192268223</v>
      </c>
      <c r="Q58" s="4">
        <f t="shared" si="3"/>
        <v>1929547.7273261026</v>
      </c>
      <c r="R58" s="8">
        <f t="shared" si="8"/>
        <v>9.9999999999999898E-3</v>
      </c>
      <c r="S58" s="6">
        <f t="shared" si="9"/>
        <v>1.4999999999999989E-2</v>
      </c>
      <c r="U58" s="6">
        <v>9.6608578310498405E-2</v>
      </c>
    </row>
    <row r="59" spans="1:21" x14ac:dyDescent="0.35">
      <c r="A59">
        <v>56</v>
      </c>
      <c r="B59">
        <v>110</v>
      </c>
      <c r="D59" s="4">
        <v>0</v>
      </c>
      <c r="E59" s="4">
        <v>0</v>
      </c>
      <c r="F59" s="4">
        <f t="shared" si="12"/>
        <v>304504.34959503601</v>
      </c>
      <c r="G59" s="4">
        <f t="shared" si="13"/>
        <v>6394591.3414957561</v>
      </c>
      <c r="H59">
        <f t="shared" si="14"/>
        <v>-66</v>
      </c>
      <c r="I59" s="4">
        <f t="shared" si="0"/>
        <v>0</v>
      </c>
      <c r="J59" s="4">
        <f t="shared" si="4"/>
        <v>1929481.7273261026</v>
      </c>
      <c r="K59" s="4">
        <f t="shared" si="1"/>
        <v>8019568.7192268223</v>
      </c>
      <c r="L59" s="4">
        <f t="shared" si="5"/>
        <v>9647.408636630511</v>
      </c>
      <c r="M59" s="4">
        <f t="shared" si="6"/>
        <v>115768.90363956615</v>
      </c>
      <c r="N59" s="4">
        <f t="shared" si="10"/>
        <v>30450.4349595036</v>
      </c>
      <c r="O59" s="4">
        <f t="shared" si="7"/>
        <v>365405.21951404319</v>
      </c>
      <c r="P59" s="4">
        <f t="shared" si="2"/>
        <v>8540840.6859765649</v>
      </c>
      <c r="Q59" s="4">
        <f t="shared" si="3"/>
        <v>2146249.3444808088</v>
      </c>
      <c r="R59" s="8">
        <f t="shared" si="8"/>
        <v>9.9999999999999967E-3</v>
      </c>
      <c r="S59" s="6">
        <f t="shared" si="9"/>
        <v>1.4999999999999996E-2</v>
      </c>
      <c r="U59" s="6">
        <v>9.6923486178266405E-2</v>
      </c>
    </row>
    <row r="60" spans="1:21" x14ac:dyDescent="0.35">
      <c r="A60">
        <v>57</v>
      </c>
      <c r="B60">
        <v>111</v>
      </c>
      <c r="D60" s="4">
        <v>0</v>
      </c>
      <c r="E60" s="4">
        <v>0</v>
      </c>
      <c r="F60" s="4">
        <f t="shared" si="12"/>
        <v>319729.5670747878</v>
      </c>
      <c r="G60" s="4">
        <f t="shared" si="13"/>
        <v>6714320.9085705439</v>
      </c>
      <c r="H60">
        <f t="shared" si="14"/>
        <v>-66</v>
      </c>
      <c r="I60" s="4">
        <f t="shared" si="0"/>
        <v>0</v>
      </c>
      <c r="J60" s="4">
        <f t="shared" si="4"/>
        <v>2146183.3444808088</v>
      </c>
      <c r="K60" s="4">
        <f t="shared" si="1"/>
        <v>8540774.6859765649</v>
      </c>
      <c r="L60" s="4">
        <f t="shared" si="5"/>
        <v>10730.916722404045</v>
      </c>
      <c r="M60" s="4">
        <f t="shared" si="6"/>
        <v>128771.00066884853</v>
      </c>
      <c r="N60" s="4">
        <f t="shared" si="10"/>
        <v>31972.956707478781</v>
      </c>
      <c r="O60" s="4">
        <f t="shared" si="7"/>
        <v>383675.48048974533</v>
      </c>
      <c r="P60" s="4">
        <f t="shared" si="2"/>
        <v>9095925.0405650418</v>
      </c>
      <c r="Q60" s="4">
        <f t="shared" si="3"/>
        <v>2381604.131994498</v>
      </c>
      <c r="R60" s="8">
        <f t="shared" si="8"/>
        <v>9.999999999999995E-3</v>
      </c>
      <c r="S60" s="6">
        <f t="shared" si="9"/>
        <v>1.4999999999999996E-2</v>
      </c>
      <c r="U60" s="6">
        <v>9.7214913191631558E-2</v>
      </c>
    </row>
    <row r="61" spans="1:21" x14ac:dyDescent="0.35">
      <c r="A61">
        <v>58</v>
      </c>
      <c r="B61">
        <v>112</v>
      </c>
      <c r="D61" s="4">
        <v>0</v>
      </c>
      <c r="E61" s="4">
        <v>0</v>
      </c>
      <c r="F61" s="4">
        <f t="shared" si="12"/>
        <v>335716.04542852723</v>
      </c>
      <c r="G61" s="4">
        <f t="shared" si="13"/>
        <v>7050036.9539990714</v>
      </c>
      <c r="H61">
        <f t="shared" si="14"/>
        <v>-66</v>
      </c>
      <c r="I61" s="4">
        <f t="shared" si="0"/>
        <v>0</v>
      </c>
      <c r="J61" s="4">
        <f t="shared" si="4"/>
        <v>2381538.131994498</v>
      </c>
      <c r="K61" s="4">
        <f t="shared" si="1"/>
        <v>9095859.0405650418</v>
      </c>
      <c r="L61" s="4">
        <f t="shared" si="5"/>
        <v>11907.690659972488</v>
      </c>
      <c r="M61" s="4">
        <f t="shared" si="6"/>
        <v>142892.28791966988</v>
      </c>
      <c r="N61" s="4">
        <f t="shared" si="10"/>
        <v>33571.604542852721</v>
      </c>
      <c r="O61" s="4">
        <f t="shared" si="7"/>
        <v>402859.25451423263</v>
      </c>
      <c r="P61" s="4">
        <f t="shared" si="2"/>
        <v>9687089.8782017697</v>
      </c>
      <c r="Q61" s="4">
        <f t="shared" si="3"/>
        <v>2637052.9242026983</v>
      </c>
      <c r="R61" s="8">
        <f t="shared" si="8"/>
        <v>9.9999999999999933E-3</v>
      </c>
      <c r="S61" s="6">
        <f t="shared" si="9"/>
        <v>1.4999999999999996E-2</v>
      </c>
      <c r="U61" s="6">
        <v>9.7484730293815769E-2</v>
      </c>
    </row>
    <row r="62" spans="1:21" x14ac:dyDescent="0.35">
      <c r="A62">
        <v>59</v>
      </c>
      <c r="B62">
        <v>113</v>
      </c>
      <c r="D62" s="4">
        <v>0</v>
      </c>
      <c r="E62" s="4">
        <v>0</v>
      </c>
      <c r="F62" s="4">
        <f t="shared" si="12"/>
        <v>352501.84769995359</v>
      </c>
      <c r="G62" s="4">
        <f t="shared" si="13"/>
        <v>7402538.8016990246</v>
      </c>
      <c r="H62">
        <f t="shared" si="14"/>
        <v>-66</v>
      </c>
      <c r="I62" s="4">
        <f t="shared" si="0"/>
        <v>0</v>
      </c>
      <c r="J62" s="4">
        <f t="shared" si="4"/>
        <v>2636986.9242026983</v>
      </c>
      <c r="K62" s="4">
        <f t="shared" si="1"/>
        <v>9687023.8782017697</v>
      </c>
      <c r="L62" s="4">
        <f t="shared" si="5"/>
        <v>13184.934621013494</v>
      </c>
      <c r="M62" s="4">
        <f t="shared" si="6"/>
        <v>158219.21545216188</v>
      </c>
      <c r="N62" s="4">
        <f t="shared" si="10"/>
        <v>35250.184769995358</v>
      </c>
      <c r="O62" s="4">
        <f t="shared" si="7"/>
        <v>423002.21723994426</v>
      </c>
      <c r="P62" s="4">
        <f t="shared" si="2"/>
        <v>10316680.430284886</v>
      </c>
      <c r="Q62" s="4">
        <f t="shared" si="3"/>
        <v>2914141.6285858611</v>
      </c>
      <c r="R62" s="8">
        <f t="shared" si="8"/>
        <v>9.9999999999999933E-3</v>
      </c>
      <c r="S62" s="6">
        <f t="shared" si="9"/>
        <v>1.4999999999999991E-2</v>
      </c>
      <c r="U62" s="6">
        <v>9.7734640397543426E-2</v>
      </c>
    </row>
    <row r="63" spans="1:21" x14ac:dyDescent="0.35">
      <c r="A63">
        <v>60</v>
      </c>
      <c r="B63">
        <v>114</v>
      </c>
      <c r="D63" s="4">
        <v>0</v>
      </c>
      <c r="E63" s="4">
        <v>0</v>
      </c>
      <c r="F63" s="4">
        <f t="shared" si="12"/>
        <v>370126.94008495123</v>
      </c>
      <c r="G63" s="4">
        <f t="shared" si="13"/>
        <v>7772665.7417839756</v>
      </c>
      <c r="H63">
        <f t="shared" si="14"/>
        <v>-66</v>
      </c>
      <c r="I63" s="4">
        <f t="shared" si="0"/>
        <v>0</v>
      </c>
      <c r="J63" s="4">
        <f t="shared" si="4"/>
        <v>2914075.6285858611</v>
      </c>
      <c r="K63" s="4">
        <f t="shared" si="1"/>
        <v>10316614.430284886</v>
      </c>
      <c r="L63" s="4">
        <f t="shared" si="5"/>
        <v>14570.378142929305</v>
      </c>
      <c r="M63" s="4">
        <f t="shared" si="6"/>
        <v>174844.53771515164</v>
      </c>
      <c r="N63" s="4">
        <f t="shared" si="10"/>
        <v>37012.694008495127</v>
      </c>
      <c r="O63" s="4">
        <f t="shared" si="7"/>
        <v>444152.32810194144</v>
      </c>
      <c r="P63" s="4">
        <f t="shared" si="2"/>
        <v>10987194.368253404</v>
      </c>
      <c r="Q63" s="4">
        <f t="shared" si="3"/>
        <v>3214528.6264694287</v>
      </c>
      <c r="R63" s="8">
        <f t="shared" si="8"/>
        <v>9.999999999999995E-3</v>
      </c>
      <c r="S63" s="6">
        <f t="shared" si="9"/>
        <v>1.4999999999999998E-2</v>
      </c>
      <c r="U63" s="6">
        <v>9.7966195471013373E-2</v>
      </c>
    </row>
    <row r="64" spans="1:21" x14ac:dyDescent="0.35">
      <c r="A64">
        <v>61</v>
      </c>
      <c r="B64">
        <v>115</v>
      </c>
      <c r="D64" s="4">
        <v>0</v>
      </c>
      <c r="E64" s="4">
        <v>0</v>
      </c>
      <c r="F64" s="4">
        <f t="shared" si="12"/>
        <v>388633.28708919883</v>
      </c>
      <c r="G64" s="4">
        <f t="shared" si="13"/>
        <v>8161299.0288731745</v>
      </c>
      <c r="H64">
        <f t="shared" si="14"/>
        <v>-66</v>
      </c>
      <c r="I64" s="4">
        <f t="shared" si="0"/>
        <v>0</v>
      </c>
      <c r="J64" s="4">
        <f t="shared" si="4"/>
        <v>3214462.6264694287</v>
      </c>
      <c r="K64" s="4">
        <f t="shared" si="1"/>
        <v>10987128.368253404</v>
      </c>
      <c r="L64" s="4">
        <f t="shared" si="5"/>
        <v>16072.313132347144</v>
      </c>
      <c r="M64" s="4">
        <f t="shared" si="6"/>
        <v>192867.75758816572</v>
      </c>
      <c r="N64" s="4">
        <f t="shared" si="10"/>
        <v>38863.328708919878</v>
      </c>
      <c r="O64" s="4">
        <f t="shared" si="7"/>
        <v>466359.94450703851</v>
      </c>
      <c r="P64" s="4">
        <f t="shared" si="2"/>
        <v>11701291.712189876</v>
      </c>
      <c r="Q64" s="4">
        <f t="shared" si="3"/>
        <v>3539992.6833167011</v>
      </c>
      <c r="R64" s="8">
        <f t="shared" si="8"/>
        <v>9.9999999999999915E-3</v>
      </c>
      <c r="S64" s="6">
        <f t="shared" si="9"/>
        <v>1.4999999999999989E-2</v>
      </c>
      <c r="U64" s="6">
        <v>9.8180811693044268E-2</v>
      </c>
    </row>
    <row r="65" spans="1:89" x14ac:dyDescent="0.35">
      <c r="A65">
        <v>62</v>
      </c>
      <c r="B65">
        <v>116</v>
      </c>
      <c r="D65" s="4">
        <v>0</v>
      </c>
      <c r="E65" s="4">
        <v>0</v>
      </c>
      <c r="F65" s="4">
        <f t="shared" si="12"/>
        <v>408064.95144365873</v>
      </c>
      <c r="G65" s="4">
        <f t="shared" si="13"/>
        <v>8569363.9803168327</v>
      </c>
      <c r="H65">
        <f t="shared" si="14"/>
        <v>-66</v>
      </c>
      <c r="I65" s="4">
        <f t="shared" si="0"/>
        <v>0</v>
      </c>
      <c r="J65" s="4">
        <f t="shared" si="4"/>
        <v>3539926.6833167011</v>
      </c>
      <c r="K65" s="4">
        <f t="shared" si="1"/>
        <v>11701225.712189876</v>
      </c>
      <c r="L65" s="4">
        <f t="shared" si="5"/>
        <v>17699.633416583507</v>
      </c>
      <c r="M65" s="4">
        <f t="shared" si="6"/>
        <v>212395.60099900205</v>
      </c>
      <c r="N65" s="4">
        <f t="shared" si="10"/>
        <v>40806.495144365872</v>
      </c>
      <c r="O65" s="4">
        <f t="shared" si="7"/>
        <v>489677.94173239043</v>
      </c>
      <c r="P65" s="4">
        <f t="shared" si="2"/>
        <v>12461805.383482216</v>
      </c>
      <c r="Q65" s="4">
        <f t="shared" si="3"/>
        <v>3892441.4031653833</v>
      </c>
      <c r="R65" s="8">
        <f t="shared" si="8"/>
        <v>9.999999999999995E-3</v>
      </c>
      <c r="S65" s="6">
        <f t="shared" si="9"/>
        <v>1.4999999999999989E-2</v>
      </c>
      <c r="U65" s="6">
        <v>9.8379782914130187E-2</v>
      </c>
    </row>
    <row r="66" spans="1:89" x14ac:dyDescent="0.35">
      <c r="A66">
        <v>63</v>
      </c>
      <c r="B66">
        <v>117</v>
      </c>
      <c r="D66" s="4">
        <v>0</v>
      </c>
      <c r="E66" s="4">
        <v>0</v>
      </c>
      <c r="F66" s="4">
        <f t="shared" si="12"/>
        <v>428468.19901584164</v>
      </c>
      <c r="G66" s="4">
        <f t="shared" si="13"/>
        <v>8997832.1793326735</v>
      </c>
      <c r="H66">
        <f t="shared" si="14"/>
        <v>-66</v>
      </c>
      <c r="I66" s="4">
        <f t="shared" si="0"/>
        <v>0</v>
      </c>
      <c r="J66" s="4">
        <f t="shared" si="4"/>
        <v>3892375.4031653833</v>
      </c>
      <c r="K66" s="4">
        <f t="shared" si="1"/>
        <v>12461739.383482216</v>
      </c>
      <c r="L66" s="4">
        <f t="shared" si="5"/>
        <v>19461.877015826922</v>
      </c>
      <c r="M66" s="4">
        <f t="shared" si="6"/>
        <v>233542.52418992299</v>
      </c>
      <c r="N66" s="4">
        <f t="shared" si="10"/>
        <v>42846.819901584167</v>
      </c>
      <c r="O66" s="4">
        <f t="shared" si="7"/>
        <v>514161.83881900995</v>
      </c>
      <c r="P66" s="4">
        <f t="shared" si="2"/>
        <v>13271752.44340856</v>
      </c>
      <c r="Q66" s="4">
        <f t="shared" si="3"/>
        <v>4273920.2640758865</v>
      </c>
      <c r="R66" s="8">
        <f t="shared" si="8"/>
        <v>9.9999999999999967E-3</v>
      </c>
      <c r="S66" s="6">
        <f t="shared" si="9"/>
        <v>1.4999999999999999E-2</v>
      </c>
      <c r="U66" s="6">
        <v>9.856429262821087E-2</v>
      </c>
    </row>
    <row r="67" spans="1:89" x14ac:dyDescent="0.35">
      <c r="A67">
        <v>64</v>
      </c>
      <c r="B67">
        <v>118</v>
      </c>
      <c r="D67" s="4">
        <v>0</v>
      </c>
      <c r="E67" s="4">
        <v>0</v>
      </c>
      <c r="F67" s="4">
        <f t="shared" si="12"/>
        <v>449891.60896663368</v>
      </c>
      <c r="G67" s="4">
        <f t="shared" si="13"/>
        <v>9447723.7882993072</v>
      </c>
      <c r="H67">
        <f t="shared" si="14"/>
        <v>-66</v>
      </c>
      <c r="I67" s="4">
        <f t="shared" si="0"/>
        <v>0</v>
      </c>
      <c r="J67" s="4">
        <f t="shared" si="4"/>
        <v>4273854.2640758865</v>
      </c>
      <c r="K67" s="4">
        <f t="shared" si="1"/>
        <v>13271686.44340856</v>
      </c>
      <c r="L67" s="4">
        <f t="shared" si="5"/>
        <v>21369.271320379434</v>
      </c>
      <c r="M67" s="4">
        <f t="shared" si="6"/>
        <v>256431.25584455318</v>
      </c>
      <c r="N67" s="4">
        <f t="shared" si="10"/>
        <v>44989.160896663372</v>
      </c>
      <c r="O67" s="4">
        <f t="shared" si="7"/>
        <v>539869.93075996044</v>
      </c>
      <c r="P67" s="4">
        <f t="shared" si="2"/>
        <v>14134346.062230118</v>
      </c>
      <c r="Q67" s="4">
        <f t="shared" si="3"/>
        <v>4686622.2739308104</v>
      </c>
      <c r="R67" s="8">
        <f t="shared" si="8"/>
        <v>1.0000000000000002E-2</v>
      </c>
      <c r="S67" s="6">
        <f t="shared" si="9"/>
        <v>1.4999999999999998E-2</v>
      </c>
      <c r="U67" s="6">
        <v>9.8735424635901792E-2</v>
      </c>
    </row>
    <row r="68" spans="1:89" x14ac:dyDescent="0.35">
      <c r="A68">
        <v>65</v>
      </c>
      <c r="B68">
        <v>119</v>
      </c>
      <c r="D68" s="4">
        <v>0</v>
      </c>
      <c r="E68" s="4">
        <v>0</v>
      </c>
      <c r="F68" s="4">
        <f t="shared" si="12"/>
        <v>472386.1894149654</v>
      </c>
      <c r="G68" s="4">
        <f t="shared" si="13"/>
        <v>9920109.9777142722</v>
      </c>
      <c r="H68">
        <f t="shared" si="14"/>
        <v>-66</v>
      </c>
      <c r="I68" s="4">
        <f t="shared" si="0"/>
        <v>0</v>
      </c>
      <c r="J68" s="4">
        <f t="shared" si="4"/>
        <v>4686556.2739308104</v>
      </c>
      <c r="K68" s="4">
        <f t="shared" si="1"/>
        <v>14134280.062230118</v>
      </c>
      <c r="L68" s="4">
        <f t="shared" si="5"/>
        <v>23432.781369654051</v>
      </c>
      <c r="M68" s="4">
        <f t="shared" si="6"/>
        <v>281193.37643584859</v>
      </c>
      <c r="N68" s="4">
        <f t="shared" si="10"/>
        <v>47238.618941496534</v>
      </c>
      <c r="O68" s="4">
        <f t="shared" si="7"/>
        <v>566863.42729795841</v>
      </c>
      <c r="P68" s="4">
        <f t="shared" si="2"/>
        <v>15053008.266275076</v>
      </c>
      <c r="Q68" s="4">
        <f t="shared" si="3"/>
        <v>5132898.288560804</v>
      </c>
      <c r="R68" s="8">
        <f t="shared" si="8"/>
        <v>9.9999999999999933E-3</v>
      </c>
      <c r="S68" s="6">
        <f t="shared" si="9"/>
        <v>1.4999999999999999E-2</v>
      </c>
      <c r="U68" s="6">
        <v>9.8894172554376159E-2</v>
      </c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</row>
    <row r="69" spans="1:89" x14ac:dyDescent="0.35">
      <c r="A69">
        <v>66</v>
      </c>
      <c r="B69">
        <v>120</v>
      </c>
      <c r="D69" s="4">
        <v>0</v>
      </c>
      <c r="E69" s="4">
        <v>0</v>
      </c>
      <c r="F69" s="4">
        <f t="shared" si="12"/>
        <v>496005.49888571363</v>
      </c>
      <c r="G69" s="4">
        <f t="shared" si="13"/>
        <v>10416115.476599986</v>
      </c>
      <c r="H69">
        <f t="shared" si="14"/>
        <v>-66</v>
      </c>
      <c r="I69" s="4">
        <f t="shared" ref="I69" si="15">-(D69+P68)*$I$2</f>
        <v>0</v>
      </c>
      <c r="J69" s="4">
        <f t="shared" si="4"/>
        <v>5132832.288560804</v>
      </c>
      <c r="K69" s="4">
        <f t="shared" ref="K69" si="16">D69+H69+I69+P68</f>
        <v>15052942.266275076</v>
      </c>
      <c r="L69" s="4">
        <f t="shared" si="5"/>
        <v>25664.161442804019</v>
      </c>
      <c r="M69" s="4">
        <f t="shared" si="6"/>
        <v>307969.93731364823</v>
      </c>
      <c r="N69" s="4">
        <f t="shared" si="10"/>
        <v>49600.54988857136</v>
      </c>
      <c r="O69" s="4">
        <f t="shared" si="7"/>
        <v>595206.59866285627</v>
      </c>
      <c r="P69" s="4">
        <f t="shared" ref="P69" si="17">K69+L69+M69+O69+N69</f>
        <v>16031383.513582956</v>
      </c>
      <c r="Q69" s="4">
        <f t="shared" ref="Q69" si="18">P69-G69</f>
        <v>5615268.0369829703</v>
      </c>
      <c r="R69" s="8">
        <f t="shared" si="8"/>
        <v>9.9999999999999915E-3</v>
      </c>
      <c r="S69" s="6">
        <f t="shared" si="9"/>
        <v>1.4999999999999993E-2</v>
      </c>
      <c r="U69" s="6">
        <v>9.9041448311026237E-2</v>
      </c>
      <c r="V69" s="10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9"/>
      <c r="BO69" s="9"/>
      <c r="BP69" s="9"/>
      <c r="BQ69" s="9"/>
      <c r="BR69" s="9"/>
      <c r="BS69" s="9"/>
      <c r="BT69" s="9"/>
      <c r="BU69" s="9"/>
      <c r="BV69" s="9"/>
      <c r="BW69" s="9"/>
      <c r="BX69" s="9"/>
      <c r="BY69" s="9"/>
      <c r="BZ69" s="9"/>
      <c r="CA69" s="9"/>
      <c r="CB69" s="9"/>
      <c r="CC69" s="9"/>
      <c r="CD69" s="9"/>
      <c r="CE69" s="9"/>
      <c r="CF69" s="9"/>
      <c r="CG69" s="9"/>
      <c r="CH69" s="9"/>
      <c r="CI69" s="9"/>
      <c r="CJ69" s="9"/>
      <c r="CK69" s="9"/>
    </row>
    <row r="70" spans="1:89" x14ac:dyDescent="0.35">
      <c r="U70" s="6">
        <v>-1</v>
      </c>
    </row>
    <row r="71" spans="1:89" x14ac:dyDescent="0.35">
      <c r="J71" s="4">
        <f>IF(MIN(J4:J69)&lt;0,1,0)</f>
        <v>0</v>
      </c>
      <c r="Q71" s="4">
        <f>IF(MIN(Q4:Q69)&lt;0,1,0)</f>
        <v>0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C160A4-356B-4D15-A70A-CEBC8FAEA529}">
  <dimension ref="A1:CK71"/>
  <sheetViews>
    <sheetView zoomScale="60" zoomScaleNormal="60" workbookViewId="0">
      <selection activeCell="L3" sqref="L3"/>
    </sheetView>
  </sheetViews>
  <sheetFormatPr defaultRowHeight="14.5" x14ac:dyDescent="0.35"/>
  <cols>
    <col min="3" max="3" width="3.26953125" customWidth="1"/>
    <col min="4" max="4" width="15.7265625" bestFit="1" customWidth="1"/>
    <col min="5" max="5" width="19.81640625" bestFit="1" customWidth="1"/>
    <col min="6" max="6" width="17.54296875" bestFit="1" customWidth="1"/>
    <col min="7" max="7" width="17.7265625" bestFit="1" customWidth="1"/>
    <col min="8" max="8" width="16" bestFit="1" customWidth="1"/>
    <col min="9" max="9" width="21.26953125" bestFit="1" customWidth="1"/>
    <col min="10" max="10" width="21.26953125" customWidth="1"/>
    <col min="11" max="11" width="51.54296875" customWidth="1"/>
    <col min="12" max="12" width="29.1796875" bestFit="1" customWidth="1"/>
    <col min="13" max="13" width="24.81640625" bestFit="1" customWidth="1"/>
    <col min="14" max="14" width="37.54296875" bestFit="1" customWidth="1"/>
    <col min="15" max="15" width="27.81640625" bestFit="1" customWidth="1"/>
    <col min="16" max="16" width="15.26953125" bestFit="1" customWidth="1"/>
    <col min="17" max="17" width="15.26953125" customWidth="1"/>
    <col min="18" max="18" width="26.26953125" customWidth="1"/>
    <col min="19" max="19" width="44.7265625" bestFit="1" customWidth="1"/>
    <col min="23" max="23" width="19.1796875" bestFit="1" customWidth="1"/>
    <col min="24" max="24" width="14.7265625" bestFit="1" customWidth="1"/>
    <col min="89" max="89" width="10.7265625" bestFit="1" customWidth="1"/>
  </cols>
  <sheetData>
    <row r="1" spans="1:23" x14ac:dyDescent="0.35">
      <c r="F1" t="s">
        <v>0</v>
      </c>
      <c r="I1" t="s">
        <v>1</v>
      </c>
      <c r="L1" t="s">
        <v>40</v>
      </c>
      <c r="M1" t="s">
        <v>2</v>
      </c>
      <c r="N1" t="s">
        <v>3</v>
      </c>
      <c r="O1" s="1" t="s">
        <v>28</v>
      </c>
      <c r="S1" t="s">
        <v>5</v>
      </c>
    </row>
    <row r="2" spans="1:23" x14ac:dyDescent="0.35">
      <c r="F2" s="2">
        <v>0.05</v>
      </c>
      <c r="I2" s="3">
        <v>0</v>
      </c>
      <c r="J2" s="3"/>
      <c r="L2" s="11">
        <v>5.0000000000000001E-3</v>
      </c>
      <c r="M2" s="3">
        <v>0.06</v>
      </c>
      <c r="N2" s="2" t="s">
        <v>41</v>
      </c>
      <c r="O2" s="1">
        <v>0</v>
      </c>
      <c r="P2" t="s">
        <v>6</v>
      </c>
      <c r="Q2">
        <v>1</v>
      </c>
      <c r="S2" t="s">
        <v>7</v>
      </c>
      <c r="U2" t="s">
        <v>8</v>
      </c>
    </row>
    <row r="3" spans="1:23" x14ac:dyDescent="0.35">
      <c r="A3" t="s">
        <v>9</v>
      </c>
      <c r="B3" t="s">
        <v>10</v>
      </c>
      <c r="D3" t="s">
        <v>11</v>
      </c>
      <c r="E3" t="s">
        <v>12</v>
      </c>
      <c r="F3" t="s">
        <v>13</v>
      </c>
      <c r="G3" t="s">
        <v>14</v>
      </c>
      <c r="H3" t="s">
        <v>15</v>
      </c>
      <c r="I3" t="s">
        <v>16</v>
      </c>
      <c r="J3" t="s">
        <v>17</v>
      </c>
      <c r="K3" t="s">
        <v>18</v>
      </c>
      <c r="L3" t="s">
        <v>19</v>
      </c>
      <c r="M3" t="s">
        <v>20</v>
      </c>
      <c r="N3" t="s">
        <v>21</v>
      </c>
      <c r="O3" t="s">
        <v>22</v>
      </c>
      <c r="P3" t="s">
        <v>23</v>
      </c>
      <c r="Q3" t="s">
        <v>24</v>
      </c>
      <c r="R3" t="s">
        <v>25</v>
      </c>
      <c r="S3" t="s">
        <v>26</v>
      </c>
      <c r="U3" t="s">
        <v>27</v>
      </c>
    </row>
    <row r="4" spans="1:23" x14ac:dyDescent="0.35">
      <c r="A4">
        <v>1</v>
      </c>
      <c r="B4">
        <v>55</v>
      </c>
      <c r="D4" s="4">
        <v>35000</v>
      </c>
      <c r="E4" s="4">
        <v>0</v>
      </c>
      <c r="F4" s="4">
        <v>0</v>
      </c>
      <c r="G4" s="4">
        <v>0</v>
      </c>
      <c r="H4">
        <f>-6365*(1.1)</f>
        <v>-7001.5000000000009</v>
      </c>
      <c r="I4" s="4">
        <f>-D4*$I$2</f>
        <v>0</v>
      </c>
      <c r="J4" s="4">
        <f>D4+H4</f>
        <v>27998.5</v>
      </c>
      <c r="K4" s="4">
        <f>D4+H4+I4</f>
        <v>27998.5</v>
      </c>
      <c r="L4" s="4">
        <f>(K4-G4)*IF(A4&lt;$Q$2,0,IF($O$2=1,$M$2,1)*$L$2)</f>
        <v>139.99250000000001</v>
      </c>
      <c r="M4" s="4">
        <f>MAX(0,(K4-G4))*$M$2</f>
        <v>1679.9099999999999</v>
      </c>
      <c r="N4" s="4"/>
      <c r="O4" s="4"/>
      <c r="P4" s="4">
        <f>K4+L4+M4+O4+N4</f>
        <v>29818.4025</v>
      </c>
      <c r="Q4" s="4">
        <f>P4-G4</f>
        <v>29818.4025</v>
      </c>
      <c r="R4" s="4"/>
      <c r="S4" s="6"/>
      <c r="U4">
        <v>-0.14804564285714283</v>
      </c>
    </row>
    <row r="5" spans="1:23" x14ac:dyDescent="0.35">
      <c r="A5">
        <v>2</v>
      </c>
      <c r="B5">
        <v>56</v>
      </c>
      <c r="D5" s="4">
        <v>35000</v>
      </c>
      <c r="E5" s="4">
        <v>0</v>
      </c>
      <c r="F5" s="4">
        <v>0</v>
      </c>
      <c r="G5" s="4">
        <v>0</v>
      </c>
      <c r="H5">
        <f>-6515*(1.1)</f>
        <v>-7166.5000000000009</v>
      </c>
      <c r="I5" s="4">
        <f t="shared" ref="I5:I68" si="0">-(D5+P4)*$I$2</f>
        <v>0</v>
      </c>
      <c r="J5" s="4">
        <f>D5-E5-G4+H5+I5+P4</f>
        <v>57651.902499999997</v>
      </c>
      <c r="K5" s="4">
        <f t="shared" ref="K5:K68" si="1">D5+H5+I5+P4</f>
        <v>57651.902499999997</v>
      </c>
      <c r="L5" s="4">
        <f>(K5-G5+F5)*IF(A5&lt;$Q$2,0,IF($O$2=1,$M$2,1)*$L$2)</f>
        <v>288.25951249999997</v>
      </c>
      <c r="M5" s="4">
        <f>MAX((K5-G4-E5),0)*$M$2</f>
        <v>3459.1141499999999</v>
      </c>
      <c r="N5" s="4">
        <f>IF($O$1="Yes",0,(G4+E5)*IF(A5&lt;$Q$2,0,IF($O$2=1,$M$2,1)*$L$2))</f>
        <v>0</v>
      </c>
      <c r="O5" s="4">
        <f>(G4+E5)*$M$2</f>
        <v>0</v>
      </c>
      <c r="P5" s="4">
        <f t="shared" ref="P5:P68" si="2">K5+L5+M5+O5+N5</f>
        <v>61399.276162499998</v>
      </c>
      <c r="Q5" s="4">
        <f t="shared" ref="Q5:Q68" si="3">P5-G5</f>
        <v>61399.276162499998</v>
      </c>
      <c r="R5" s="7" t="e">
        <f>(O5-F5)/(G4+E5)</f>
        <v>#DIV/0!</v>
      </c>
      <c r="S5" s="6" t="e">
        <f>(N5+O5-F5)/(G4+E5)</f>
        <v>#DIV/0!</v>
      </c>
      <c r="U5">
        <v>-8.427932335307875E-2</v>
      </c>
      <c r="W5">
        <f>1.1</f>
        <v>1.1000000000000001</v>
      </c>
    </row>
    <row r="6" spans="1:23" x14ac:dyDescent="0.35">
      <c r="A6">
        <v>3</v>
      </c>
      <c r="B6">
        <v>57</v>
      </c>
      <c r="D6" s="4">
        <v>35000</v>
      </c>
      <c r="E6" s="4">
        <v>0</v>
      </c>
      <c r="F6" s="4">
        <v>0</v>
      </c>
      <c r="G6" s="4">
        <v>0</v>
      </c>
      <c r="H6">
        <f>-6684*(1.1)</f>
        <v>-7352.4000000000005</v>
      </c>
      <c r="I6" s="4">
        <f t="shared" si="0"/>
        <v>0</v>
      </c>
      <c r="J6" s="4">
        <f t="shared" ref="J6:J69" si="4">D6-E6-G5+H6+I6+P5</f>
        <v>89046.876162500004</v>
      </c>
      <c r="K6" s="4">
        <f t="shared" si="1"/>
        <v>89046.876162500004</v>
      </c>
      <c r="L6" s="4">
        <f t="shared" ref="L6:L69" si="5">(K6-G6+F6)*IF(A6&lt;$Q$2,0,IF($O$2=1,$M$2,1)*$L$2)</f>
        <v>445.23438081250004</v>
      </c>
      <c r="M6" s="4">
        <f t="shared" ref="M6:M69" si="6">MAX((K6-G5-E6),0)*$M$2</f>
        <v>5342.81256975</v>
      </c>
      <c r="N6" s="4">
        <f>IF($O$1="Yes",0,(G5+E6)*IF(A6&lt;$Q$2,0,IF($O$2=1,$M$2,1)*$L$2))</f>
        <v>0</v>
      </c>
      <c r="O6" s="4">
        <f t="shared" ref="O6:O69" si="7">(G5+E6)*$M$2</f>
        <v>0</v>
      </c>
      <c r="P6" s="4">
        <f t="shared" si="2"/>
        <v>94834.923113062512</v>
      </c>
      <c r="Q6" s="4">
        <f t="shared" si="3"/>
        <v>94834.923113062512</v>
      </c>
      <c r="R6" s="7" t="e">
        <f t="shared" ref="R6:R69" si="8">(O6-F6)/(G5+E6)</f>
        <v>#DIV/0!</v>
      </c>
      <c r="S6" s="6" t="e">
        <f t="shared" ref="S6:S69" si="9">(N6+O6-F6)/(G5+E6)</f>
        <v>#DIV/0!</v>
      </c>
      <c r="U6" s="6">
        <v>-5.005453054294251E-2</v>
      </c>
    </row>
    <row r="7" spans="1:23" x14ac:dyDescent="0.35">
      <c r="A7">
        <v>4</v>
      </c>
      <c r="B7">
        <v>58</v>
      </c>
      <c r="D7" s="4">
        <v>35000</v>
      </c>
      <c r="E7" s="4">
        <v>0</v>
      </c>
      <c r="F7" s="4">
        <v>0</v>
      </c>
      <c r="G7" s="4">
        <v>0</v>
      </c>
      <c r="H7">
        <f>-6870*(1.1)</f>
        <v>-7557.0000000000009</v>
      </c>
      <c r="I7" s="4">
        <f t="shared" si="0"/>
        <v>0</v>
      </c>
      <c r="J7" s="4">
        <f t="shared" si="4"/>
        <v>122277.92311306251</v>
      </c>
      <c r="K7" s="4">
        <f t="shared" si="1"/>
        <v>122277.92311306251</v>
      </c>
      <c r="L7" s="4">
        <f t="shared" si="5"/>
        <v>611.38961556531262</v>
      </c>
      <c r="M7" s="4">
        <f t="shared" si="6"/>
        <v>7336.6753867837506</v>
      </c>
      <c r="N7" s="4">
        <f t="shared" ref="N7:N69" si="10">IF($O$1="Yes",0,(G6+E7)*IF(A7&lt;$Q$2,0,IF($O$2=1,$M$2,1)*$L$2))</f>
        <v>0</v>
      </c>
      <c r="O7" s="4">
        <f t="shared" si="7"/>
        <v>0</v>
      </c>
      <c r="P7" s="4">
        <f t="shared" si="2"/>
        <v>130225.98811541157</v>
      </c>
      <c r="Q7" s="4">
        <f t="shared" si="3"/>
        <v>130225.98811541157</v>
      </c>
      <c r="R7" s="7" t="e">
        <f t="shared" si="8"/>
        <v>#DIV/0!</v>
      </c>
      <c r="S7" s="6" t="e">
        <f t="shared" si="9"/>
        <v>#DIV/0!</v>
      </c>
      <c r="U7" s="6">
        <v>-2.8739930775548039E-2</v>
      </c>
    </row>
    <row r="8" spans="1:23" x14ac:dyDescent="0.35">
      <c r="A8">
        <v>5</v>
      </c>
      <c r="B8">
        <v>59</v>
      </c>
      <c r="D8" s="4">
        <v>35000</v>
      </c>
      <c r="E8" s="4">
        <v>0</v>
      </c>
      <c r="F8" s="4">
        <v>0</v>
      </c>
      <c r="G8" s="4">
        <v>0</v>
      </c>
      <c r="H8">
        <f>-7081*(1.1)</f>
        <v>-7789.1</v>
      </c>
      <c r="I8" s="4">
        <f t="shared" si="0"/>
        <v>0</v>
      </c>
      <c r="J8" s="4">
        <f t="shared" si="4"/>
        <v>157436.88811541157</v>
      </c>
      <c r="K8" s="4">
        <f t="shared" si="1"/>
        <v>157436.88811541157</v>
      </c>
      <c r="L8" s="4">
        <f t="shared" si="5"/>
        <v>787.1844405770579</v>
      </c>
      <c r="M8" s="4">
        <f t="shared" si="6"/>
        <v>9446.2132869246943</v>
      </c>
      <c r="N8" s="4">
        <f t="shared" si="10"/>
        <v>0</v>
      </c>
      <c r="O8" s="4">
        <f t="shared" si="7"/>
        <v>0</v>
      </c>
      <c r="P8" s="4">
        <f t="shared" si="2"/>
        <v>167670.28584291332</v>
      </c>
      <c r="Q8" s="4">
        <f t="shared" si="3"/>
        <v>167670.28584291332</v>
      </c>
      <c r="R8" s="7" t="e">
        <f t="shared" si="8"/>
        <v>#DIV/0!</v>
      </c>
      <c r="S8" s="6" t="e">
        <f t="shared" si="9"/>
        <v>#DIV/0!</v>
      </c>
      <c r="U8" s="6">
        <v>-1.422842706668126E-2</v>
      </c>
    </row>
    <row r="9" spans="1:23" x14ac:dyDescent="0.35">
      <c r="A9">
        <v>6</v>
      </c>
      <c r="B9">
        <v>60</v>
      </c>
      <c r="D9" s="4">
        <v>35000</v>
      </c>
      <c r="E9" s="4">
        <v>0</v>
      </c>
      <c r="F9" s="4">
        <v>0</v>
      </c>
      <c r="G9" s="4">
        <v>0</v>
      </c>
      <c r="H9">
        <f>-7321*(1.1)</f>
        <v>-8053.1</v>
      </c>
      <c r="I9" s="4">
        <f t="shared" si="0"/>
        <v>0</v>
      </c>
      <c r="J9" s="4">
        <f t="shared" si="4"/>
        <v>194617.18584291331</v>
      </c>
      <c r="K9" s="4">
        <f t="shared" si="1"/>
        <v>194617.18584291331</v>
      </c>
      <c r="L9" s="4">
        <f t="shared" si="5"/>
        <v>973.08592921456659</v>
      </c>
      <c r="M9" s="4">
        <f t="shared" si="6"/>
        <v>11677.031150574798</v>
      </c>
      <c r="N9" s="4">
        <f t="shared" si="10"/>
        <v>0</v>
      </c>
      <c r="O9" s="4">
        <f t="shared" si="7"/>
        <v>0</v>
      </c>
      <c r="P9" s="4">
        <f t="shared" si="2"/>
        <v>207267.30292270269</v>
      </c>
      <c r="Q9" s="4">
        <f t="shared" si="3"/>
        <v>207267.30292270269</v>
      </c>
      <c r="R9" s="7" t="e">
        <f t="shared" si="8"/>
        <v>#DIV/0!</v>
      </c>
      <c r="S9" s="6" t="e">
        <f t="shared" si="9"/>
        <v>#DIV/0!</v>
      </c>
      <c r="U9" s="6">
        <v>-3.741195736755798E-3</v>
      </c>
    </row>
    <row r="10" spans="1:23" x14ac:dyDescent="0.35">
      <c r="A10">
        <v>7</v>
      </c>
      <c r="B10">
        <v>61</v>
      </c>
      <c r="D10" s="4">
        <v>35000</v>
      </c>
      <c r="E10" s="4">
        <v>0</v>
      </c>
      <c r="F10" s="4">
        <v>0</v>
      </c>
      <c r="G10" s="4">
        <v>0</v>
      </c>
      <c r="H10">
        <f>-7598*(1.1)</f>
        <v>-8357.8000000000011</v>
      </c>
      <c r="I10" s="4">
        <f t="shared" si="0"/>
        <v>0</v>
      </c>
      <c r="J10" s="4">
        <f t="shared" si="4"/>
        <v>233909.5029227027</v>
      </c>
      <c r="K10" s="4">
        <f t="shared" si="1"/>
        <v>233909.5029227027</v>
      </c>
      <c r="L10" s="4">
        <f t="shared" si="5"/>
        <v>1169.5475146135136</v>
      </c>
      <c r="M10" s="4">
        <f t="shared" si="6"/>
        <v>14034.570175362162</v>
      </c>
      <c r="N10" s="4">
        <f t="shared" si="10"/>
        <v>0</v>
      </c>
      <c r="O10" s="4">
        <f t="shared" si="7"/>
        <v>0</v>
      </c>
      <c r="P10" s="4">
        <f t="shared" si="2"/>
        <v>249113.62061267838</v>
      </c>
      <c r="Q10" s="4">
        <f t="shared" si="3"/>
        <v>249113.62061267838</v>
      </c>
      <c r="R10" s="7" t="e">
        <f t="shared" si="8"/>
        <v>#DIV/0!</v>
      </c>
      <c r="S10" s="6" t="e">
        <f t="shared" si="9"/>
        <v>#DIV/0!</v>
      </c>
      <c r="U10" s="6">
        <v>4.1627343904311331E-3</v>
      </c>
    </row>
    <row r="11" spans="1:23" x14ac:dyDescent="0.35">
      <c r="A11">
        <v>8</v>
      </c>
      <c r="B11">
        <v>62</v>
      </c>
      <c r="D11" s="4">
        <v>35000</v>
      </c>
      <c r="E11" s="4">
        <v>0</v>
      </c>
      <c r="F11" s="4">
        <v>0</v>
      </c>
      <c r="G11" s="4">
        <v>0</v>
      </c>
      <c r="H11">
        <f>-7918*(1.1)</f>
        <v>-8709.8000000000011</v>
      </c>
      <c r="I11" s="4">
        <f t="shared" si="0"/>
        <v>0</v>
      </c>
      <c r="J11" s="4">
        <f t="shared" si="4"/>
        <v>275403.82061267836</v>
      </c>
      <c r="K11" s="4">
        <f t="shared" si="1"/>
        <v>275403.82061267836</v>
      </c>
      <c r="L11" s="4">
        <f t="shared" si="5"/>
        <v>1377.0191030633919</v>
      </c>
      <c r="M11" s="4">
        <f t="shared" si="6"/>
        <v>16524.229236760701</v>
      </c>
      <c r="N11" s="4">
        <f t="shared" si="10"/>
        <v>0</v>
      </c>
      <c r="O11" s="4">
        <f t="shared" si="7"/>
        <v>0</v>
      </c>
      <c r="P11" s="4">
        <f t="shared" si="2"/>
        <v>293305.06895250245</v>
      </c>
      <c r="Q11" s="4">
        <f t="shared" si="3"/>
        <v>293305.06895250245</v>
      </c>
      <c r="R11" s="7" t="e">
        <f t="shared" si="8"/>
        <v>#DIV/0!</v>
      </c>
      <c r="S11" s="6" t="e">
        <f t="shared" si="9"/>
        <v>#DIV/0!</v>
      </c>
      <c r="U11" s="6">
        <v>1.0307787754198827E-2</v>
      </c>
    </row>
    <row r="12" spans="1:23" x14ac:dyDescent="0.35">
      <c r="A12">
        <v>9</v>
      </c>
      <c r="B12">
        <v>63</v>
      </c>
      <c r="D12" s="4">
        <v>35000</v>
      </c>
      <c r="E12" s="4">
        <v>0</v>
      </c>
      <c r="F12" s="4">
        <v>0</v>
      </c>
      <c r="G12" s="4">
        <v>0</v>
      </c>
      <c r="H12">
        <f>-8273*(1.1)</f>
        <v>-9100.3000000000011</v>
      </c>
      <c r="I12" s="4">
        <f t="shared" si="0"/>
        <v>0</v>
      </c>
      <c r="J12" s="4">
        <f t="shared" si="4"/>
        <v>319204.76895250246</v>
      </c>
      <c r="K12" s="4">
        <f t="shared" si="1"/>
        <v>319204.76895250246</v>
      </c>
      <c r="L12" s="4">
        <f t="shared" si="5"/>
        <v>1596.0238447625125</v>
      </c>
      <c r="M12" s="4">
        <f t="shared" si="6"/>
        <v>19152.286137150146</v>
      </c>
      <c r="N12" s="4">
        <f t="shared" si="10"/>
        <v>0</v>
      </c>
      <c r="O12" s="4">
        <f t="shared" si="7"/>
        <v>0</v>
      </c>
      <c r="P12" s="4">
        <f t="shared" si="2"/>
        <v>339953.07893441513</v>
      </c>
      <c r="Q12" s="4">
        <f t="shared" si="3"/>
        <v>339953.07893441513</v>
      </c>
      <c r="R12" s="7" t="e">
        <f t="shared" si="8"/>
        <v>#DIV/0!</v>
      </c>
      <c r="S12" s="6" t="e">
        <f t="shared" si="9"/>
        <v>#DIV/0!</v>
      </c>
      <c r="U12" s="6">
        <v>1.5209615238059637E-2</v>
      </c>
    </row>
    <row r="13" spans="1:23" x14ac:dyDescent="0.35">
      <c r="A13">
        <v>10</v>
      </c>
      <c r="B13">
        <v>64</v>
      </c>
      <c r="D13" s="4">
        <v>35000</v>
      </c>
      <c r="E13" s="4">
        <v>0</v>
      </c>
      <c r="F13" s="4">
        <v>0</v>
      </c>
      <c r="G13" s="4">
        <v>0</v>
      </c>
      <c r="H13">
        <f>-8683*(1.1)</f>
        <v>-9551.3000000000011</v>
      </c>
      <c r="I13" s="4">
        <f t="shared" si="0"/>
        <v>0</v>
      </c>
      <c r="J13" s="4">
        <f t="shared" si="4"/>
        <v>365401.77893441514</v>
      </c>
      <c r="K13" s="4">
        <f t="shared" si="1"/>
        <v>365401.77893441514</v>
      </c>
      <c r="L13" s="4">
        <f t="shared" si="5"/>
        <v>1827.0088946720757</v>
      </c>
      <c r="M13" s="4">
        <f t="shared" si="6"/>
        <v>21924.106736064907</v>
      </c>
      <c r="N13" s="4">
        <f t="shared" si="10"/>
        <v>0</v>
      </c>
      <c r="O13" s="4">
        <f t="shared" si="7"/>
        <v>0</v>
      </c>
      <c r="P13" s="4">
        <f t="shared" si="2"/>
        <v>389152.89456515212</v>
      </c>
      <c r="Q13" s="4">
        <f t="shared" si="3"/>
        <v>389152.89456515212</v>
      </c>
      <c r="R13" s="7" t="e">
        <f t="shared" si="8"/>
        <v>#DIV/0!</v>
      </c>
      <c r="S13" s="6" t="e">
        <f t="shared" si="9"/>
        <v>#DIV/0!</v>
      </c>
      <c r="U13" s="6">
        <v>1.9190744563043927E-2</v>
      </c>
    </row>
    <row r="14" spans="1:23" x14ac:dyDescent="0.35">
      <c r="A14">
        <v>11</v>
      </c>
      <c r="B14">
        <v>65</v>
      </c>
      <c r="D14" s="4">
        <v>35000</v>
      </c>
      <c r="E14" s="4">
        <v>0</v>
      </c>
      <c r="F14" s="4">
        <v>0</v>
      </c>
      <c r="G14" s="4">
        <v>0</v>
      </c>
      <c r="H14">
        <f>-6270*(1.1)</f>
        <v>-6897.0000000000009</v>
      </c>
      <c r="I14" s="4">
        <f t="shared" si="0"/>
        <v>0</v>
      </c>
      <c r="J14" s="4">
        <f t="shared" si="4"/>
        <v>417255.89456515212</v>
      </c>
      <c r="K14" s="4">
        <f t="shared" si="1"/>
        <v>417255.89456515212</v>
      </c>
      <c r="L14" s="4">
        <f t="shared" si="5"/>
        <v>2086.2794728257604</v>
      </c>
      <c r="M14" s="4">
        <f t="shared" si="6"/>
        <v>25035.353673909125</v>
      </c>
      <c r="N14" s="4">
        <f t="shared" si="10"/>
        <v>0</v>
      </c>
      <c r="O14" s="4">
        <f t="shared" si="7"/>
        <v>0</v>
      </c>
      <c r="P14" s="4">
        <f t="shared" si="2"/>
        <v>444377.52771188703</v>
      </c>
      <c r="Q14" s="4">
        <f t="shared" si="3"/>
        <v>444377.52771188703</v>
      </c>
      <c r="R14" s="7" t="e">
        <f t="shared" si="8"/>
        <v>#DIV/0!</v>
      </c>
      <c r="S14" s="6" t="e">
        <f t="shared" si="9"/>
        <v>#DIV/0!</v>
      </c>
      <c r="U14" s="6">
        <v>2.3724350680097928E-2</v>
      </c>
    </row>
    <row r="15" spans="1:23" x14ac:dyDescent="0.35">
      <c r="A15">
        <v>12</v>
      </c>
      <c r="B15">
        <v>66</v>
      </c>
      <c r="D15" s="4">
        <v>35000</v>
      </c>
      <c r="E15" s="4">
        <v>0</v>
      </c>
      <c r="F15" s="4">
        <v>0</v>
      </c>
      <c r="G15" s="4">
        <v>0</v>
      </c>
      <c r="H15">
        <f>-6686*(1.1)</f>
        <v>-7354.6</v>
      </c>
      <c r="I15" s="4">
        <f t="shared" si="0"/>
        <v>0</v>
      </c>
      <c r="J15" s="4">
        <f t="shared" si="4"/>
        <v>472022.92771188705</v>
      </c>
      <c r="K15" s="4">
        <f t="shared" si="1"/>
        <v>472022.92771188705</v>
      </c>
      <c r="L15" s="4">
        <f t="shared" si="5"/>
        <v>2360.1146385594352</v>
      </c>
      <c r="M15" s="4">
        <f t="shared" si="6"/>
        <v>28321.375662713221</v>
      </c>
      <c r="N15" s="4">
        <f t="shared" si="10"/>
        <v>0</v>
      </c>
      <c r="O15" s="4">
        <f t="shared" si="7"/>
        <v>0</v>
      </c>
      <c r="P15" s="4">
        <f t="shared" si="2"/>
        <v>502704.41801315971</v>
      </c>
      <c r="Q15" s="4">
        <f t="shared" si="3"/>
        <v>502704.41801315971</v>
      </c>
      <c r="R15" s="7" t="e">
        <f t="shared" si="8"/>
        <v>#DIV/0!</v>
      </c>
      <c r="S15" s="6" t="e">
        <f t="shared" si="9"/>
        <v>#DIV/0!</v>
      </c>
      <c r="U15" s="6">
        <v>2.7353922496712535E-2</v>
      </c>
    </row>
    <row r="16" spans="1:23" x14ac:dyDescent="0.35">
      <c r="A16">
        <v>13</v>
      </c>
      <c r="B16">
        <v>67</v>
      </c>
      <c r="D16" s="4">
        <v>35000</v>
      </c>
      <c r="E16" s="4">
        <v>0</v>
      </c>
      <c r="F16" s="4">
        <v>0</v>
      </c>
      <c r="G16" s="4">
        <v>0</v>
      </c>
      <c r="H16">
        <f>-7151*(1.1)</f>
        <v>-7866.1</v>
      </c>
      <c r="I16" s="4">
        <f t="shared" si="0"/>
        <v>0</v>
      </c>
      <c r="J16" s="4">
        <f t="shared" si="4"/>
        <v>529838.31801315967</v>
      </c>
      <c r="K16" s="4">
        <f t="shared" si="1"/>
        <v>529838.31801315967</v>
      </c>
      <c r="L16" s="4">
        <f t="shared" si="5"/>
        <v>2649.1915900657982</v>
      </c>
      <c r="M16" s="4">
        <f t="shared" si="6"/>
        <v>31790.29908078958</v>
      </c>
      <c r="N16" s="4">
        <f t="shared" si="10"/>
        <v>0</v>
      </c>
      <c r="O16" s="4">
        <f t="shared" si="7"/>
        <v>0</v>
      </c>
      <c r="P16" s="4">
        <f t="shared" si="2"/>
        <v>564277.80868401506</v>
      </c>
      <c r="Q16" s="4">
        <f t="shared" si="3"/>
        <v>564277.80868401506</v>
      </c>
      <c r="R16" s="7" t="e">
        <f t="shared" si="8"/>
        <v>#DIV/0!</v>
      </c>
      <c r="S16" s="6" t="e">
        <f t="shared" si="9"/>
        <v>#DIV/0!</v>
      </c>
      <c r="U16" s="6">
        <v>3.0309698026360632E-2</v>
      </c>
    </row>
    <row r="17" spans="1:21" x14ac:dyDescent="0.35">
      <c r="A17">
        <v>14</v>
      </c>
      <c r="B17">
        <v>68</v>
      </c>
      <c r="D17" s="4">
        <v>35000</v>
      </c>
      <c r="E17" s="4">
        <v>0</v>
      </c>
      <c r="F17" s="4">
        <v>0</v>
      </c>
      <c r="G17" s="4">
        <v>0</v>
      </c>
      <c r="H17">
        <f>-7671*(1.1)</f>
        <v>-8438.1</v>
      </c>
      <c r="I17" s="4">
        <f t="shared" si="0"/>
        <v>0</v>
      </c>
      <c r="J17" s="4">
        <f t="shared" si="4"/>
        <v>590839.70868401509</v>
      </c>
      <c r="K17" s="4">
        <f t="shared" si="1"/>
        <v>590839.70868401509</v>
      </c>
      <c r="L17" s="4">
        <f t="shared" si="5"/>
        <v>2954.1985434200756</v>
      </c>
      <c r="M17" s="4">
        <f t="shared" si="6"/>
        <v>35450.382521040905</v>
      </c>
      <c r="N17" s="4">
        <f t="shared" si="10"/>
        <v>0</v>
      </c>
      <c r="O17" s="4">
        <f t="shared" si="7"/>
        <v>0</v>
      </c>
      <c r="P17" s="4">
        <f t="shared" si="2"/>
        <v>629244.289748476</v>
      </c>
      <c r="Q17" s="4">
        <f t="shared" si="3"/>
        <v>629244.289748476</v>
      </c>
      <c r="R17" s="7" t="e">
        <f t="shared" si="8"/>
        <v>#DIV/0!</v>
      </c>
      <c r="S17" s="6" t="e">
        <f t="shared" si="9"/>
        <v>#DIV/0!</v>
      </c>
      <c r="U17" s="6">
        <v>3.2750310641361802E-2</v>
      </c>
    </row>
    <row r="18" spans="1:21" x14ac:dyDescent="0.35">
      <c r="A18">
        <v>15</v>
      </c>
      <c r="B18">
        <v>69</v>
      </c>
      <c r="D18" s="4">
        <v>35000</v>
      </c>
      <c r="E18" s="4">
        <v>0</v>
      </c>
      <c r="F18" s="4">
        <v>0</v>
      </c>
      <c r="G18" s="4">
        <v>0</v>
      </c>
      <c r="H18">
        <f>-8251*(1.1)</f>
        <v>-9076.1</v>
      </c>
      <c r="I18" s="4">
        <f t="shared" si="0"/>
        <v>0</v>
      </c>
      <c r="J18" s="4">
        <f t="shared" si="4"/>
        <v>655168.18974847603</v>
      </c>
      <c r="K18" s="4">
        <f t="shared" si="1"/>
        <v>655168.18974847603</v>
      </c>
      <c r="L18" s="4">
        <f t="shared" si="5"/>
        <v>3275.8409487423801</v>
      </c>
      <c r="M18" s="4">
        <f t="shared" si="6"/>
        <v>39310.091384908563</v>
      </c>
      <c r="N18" s="4">
        <f t="shared" si="10"/>
        <v>0</v>
      </c>
      <c r="O18" s="4">
        <f t="shared" si="7"/>
        <v>0</v>
      </c>
      <c r="P18" s="4">
        <f t="shared" si="2"/>
        <v>697754.12208212691</v>
      </c>
      <c r="Q18" s="4">
        <f t="shared" si="3"/>
        <v>697754.12208212691</v>
      </c>
      <c r="R18" s="7" t="e">
        <f t="shared" si="8"/>
        <v>#DIV/0!</v>
      </c>
      <c r="S18" s="6" t="e">
        <f t="shared" si="9"/>
        <v>#DIV/0!</v>
      </c>
      <c r="U18" s="6">
        <v>3.4788647479712331E-2</v>
      </c>
    </row>
    <row r="19" spans="1:21" x14ac:dyDescent="0.35">
      <c r="A19">
        <v>16</v>
      </c>
      <c r="B19">
        <v>70</v>
      </c>
      <c r="D19" s="4">
        <v>0</v>
      </c>
      <c r="E19" s="4">
        <v>62482</v>
      </c>
      <c r="F19" s="4">
        <f>(G18+E19)*$F$2</f>
        <v>3124.1000000000004</v>
      </c>
      <c r="G19" s="4">
        <f>E19+F19</f>
        <v>65606.100000000006</v>
      </c>
      <c r="H19">
        <f>-1496*(1.1)</f>
        <v>-1645.6000000000001</v>
      </c>
      <c r="I19" s="4">
        <f t="shared" si="0"/>
        <v>0</v>
      </c>
      <c r="J19" s="4">
        <f t="shared" si="4"/>
        <v>633626.52208212693</v>
      </c>
      <c r="K19" s="4">
        <f t="shared" si="1"/>
        <v>696108.52208212693</v>
      </c>
      <c r="L19" s="4">
        <f t="shared" si="5"/>
        <v>3168.1326104106347</v>
      </c>
      <c r="M19" s="4">
        <f t="shared" si="6"/>
        <v>38017.591324927613</v>
      </c>
      <c r="N19" s="4">
        <f t="shared" si="10"/>
        <v>0</v>
      </c>
      <c r="O19" s="4">
        <f t="shared" si="7"/>
        <v>3748.92</v>
      </c>
      <c r="P19" s="4">
        <f t="shared" si="2"/>
        <v>741043.16601746529</v>
      </c>
      <c r="Q19" s="4">
        <f t="shared" si="3"/>
        <v>675437.06601746532</v>
      </c>
      <c r="R19" s="8">
        <f t="shared" si="8"/>
        <v>9.999999999999995E-3</v>
      </c>
      <c r="S19" s="6">
        <f t="shared" si="9"/>
        <v>9.999999999999995E-3</v>
      </c>
      <c r="U19" s="6">
        <v>3.7463597096397239E-2</v>
      </c>
    </row>
    <row r="20" spans="1:21" x14ac:dyDescent="0.35">
      <c r="A20">
        <v>17</v>
      </c>
      <c r="B20">
        <v>71</v>
      </c>
      <c r="D20" s="4">
        <v>0</v>
      </c>
      <c r="E20" s="4">
        <f>E19</f>
        <v>62482</v>
      </c>
      <c r="F20" s="4">
        <f>(G19+E20)*$F$2</f>
        <v>6404.4050000000007</v>
      </c>
      <c r="G20" s="4">
        <f>E20+F20+G19</f>
        <v>134492.505</v>
      </c>
      <c r="H20">
        <f>-1524*(1.1)</f>
        <v>-1676.4</v>
      </c>
      <c r="I20" s="4">
        <f t="shared" si="0"/>
        <v>0</v>
      </c>
      <c r="J20" s="4">
        <f t="shared" si="4"/>
        <v>611278.66601746529</v>
      </c>
      <c r="K20" s="4">
        <f t="shared" si="1"/>
        <v>739366.76601746527</v>
      </c>
      <c r="L20" s="4">
        <f t="shared" si="5"/>
        <v>3056.3933300873264</v>
      </c>
      <c r="M20" s="4">
        <f t="shared" si="6"/>
        <v>36676.719961047915</v>
      </c>
      <c r="N20" s="4">
        <f t="shared" si="10"/>
        <v>0</v>
      </c>
      <c r="O20" s="4">
        <f t="shared" si="7"/>
        <v>7685.2860000000001</v>
      </c>
      <c r="P20" s="4">
        <f t="shared" si="2"/>
        <v>786785.16530860041</v>
      </c>
      <c r="Q20" s="4">
        <f t="shared" si="3"/>
        <v>652292.6603086004</v>
      </c>
      <c r="R20" s="8">
        <f t="shared" si="8"/>
        <v>9.999999999999995E-3</v>
      </c>
      <c r="S20" s="6">
        <f t="shared" si="9"/>
        <v>9.999999999999995E-3</v>
      </c>
      <c r="U20" s="6">
        <v>3.997102527192542E-2</v>
      </c>
    </row>
    <row r="21" spans="1:21" x14ac:dyDescent="0.35">
      <c r="A21">
        <v>18</v>
      </c>
      <c r="B21">
        <v>72</v>
      </c>
      <c r="D21" s="4">
        <v>0</v>
      </c>
      <c r="E21" s="4">
        <f t="shared" ref="E21:E38" si="11">E20</f>
        <v>62482</v>
      </c>
      <c r="F21" s="4">
        <f t="shared" ref="F21:F69" si="12">(G20+E21)*$F$2</f>
        <v>9848.7252500000013</v>
      </c>
      <c r="G21" s="4">
        <f t="shared" ref="G21:G69" si="13">E21+F21+G20</f>
        <v>206823.23025000002</v>
      </c>
      <c r="H21">
        <f>-1516*(1.1)</f>
        <v>-1667.6000000000001</v>
      </c>
      <c r="I21" s="4">
        <f t="shared" si="0"/>
        <v>0</v>
      </c>
      <c r="J21" s="4">
        <f t="shared" si="4"/>
        <v>588143.06030860043</v>
      </c>
      <c r="K21" s="4">
        <f t="shared" si="1"/>
        <v>785117.56530860043</v>
      </c>
      <c r="L21" s="4">
        <f t="shared" si="5"/>
        <v>2940.7153015430022</v>
      </c>
      <c r="M21" s="4">
        <f t="shared" si="6"/>
        <v>35288.583618516022</v>
      </c>
      <c r="N21" s="4">
        <f t="shared" si="10"/>
        <v>0</v>
      </c>
      <c r="O21" s="4">
        <f t="shared" si="7"/>
        <v>11818.470299999999</v>
      </c>
      <c r="P21" s="4">
        <f t="shared" si="2"/>
        <v>835165.33452865947</v>
      </c>
      <c r="Q21" s="4">
        <f t="shared" si="3"/>
        <v>628342.10427865945</v>
      </c>
      <c r="R21" s="8">
        <f t="shared" si="8"/>
        <v>9.9999999999999881E-3</v>
      </c>
      <c r="S21" s="6">
        <f t="shared" si="9"/>
        <v>9.9999999999999881E-3</v>
      </c>
      <c r="U21" s="6">
        <v>4.2381807680076378E-2</v>
      </c>
    </row>
    <row r="22" spans="1:21" x14ac:dyDescent="0.35">
      <c r="A22">
        <v>19</v>
      </c>
      <c r="B22">
        <v>73</v>
      </c>
      <c r="D22" s="4">
        <v>0</v>
      </c>
      <c r="E22" s="4">
        <f t="shared" si="11"/>
        <v>62482</v>
      </c>
      <c r="F22" s="4">
        <f t="shared" si="12"/>
        <v>13465.261512500001</v>
      </c>
      <c r="G22" s="4">
        <f t="shared" si="13"/>
        <v>282770.49176250002</v>
      </c>
      <c r="H22">
        <f>-1460*(1.1)</f>
        <v>-1606.0000000000002</v>
      </c>
      <c r="I22" s="4">
        <f t="shared" si="0"/>
        <v>0</v>
      </c>
      <c r="J22" s="4">
        <f t="shared" si="4"/>
        <v>564254.10427865945</v>
      </c>
      <c r="K22" s="4">
        <f t="shared" si="1"/>
        <v>833559.33452865947</v>
      </c>
      <c r="L22" s="4">
        <f t="shared" si="5"/>
        <v>2821.2705213932973</v>
      </c>
      <c r="M22" s="4">
        <f t="shared" si="6"/>
        <v>33855.246256719569</v>
      </c>
      <c r="N22" s="4">
        <f t="shared" si="10"/>
        <v>0</v>
      </c>
      <c r="O22" s="4">
        <f t="shared" si="7"/>
        <v>16158.313815000001</v>
      </c>
      <c r="P22" s="4">
        <f t="shared" si="2"/>
        <v>886394.16512177233</v>
      </c>
      <c r="Q22" s="4">
        <f t="shared" si="3"/>
        <v>603623.6733592723</v>
      </c>
      <c r="R22" s="8">
        <f t="shared" si="8"/>
        <v>0.01</v>
      </c>
      <c r="S22" s="6">
        <f t="shared" si="9"/>
        <v>0.01</v>
      </c>
      <c r="U22" s="6">
        <v>4.4738838988969798E-2</v>
      </c>
    </row>
    <row r="23" spans="1:21" x14ac:dyDescent="0.35">
      <c r="A23">
        <v>20</v>
      </c>
      <c r="B23">
        <v>74</v>
      </c>
      <c r="D23" s="4">
        <v>0</v>
      </c>
      <c r="E23" s="4">
        <f t="shared" si="11"/>
        <v>62482</v>
      </c>
      <c r="F23" s="4">
        <f t="shared" si="12"/>
        <v>17262.624588125003</v>
      </c>
      <c r="G23" s="4">
        <f t="shared" si="13"/>
        <v>362515.11635062506</v>
      </c>
      <c r="H23">
        <f>-1338*(1.1)</f>
        <v>-1471.8000000000002</v>
      </c>
      <c r="I23" s="4">
        <f t="shared" si="0"/>
        <v>0</v>
      </c>
      <c r="J23" s="4">
        <f t="shared" si="4"/>
        <v>539669.87335927226</v>
      </c>
      <c r="K23" s="4">
        <f t="shared" si="1"/>
        <v>884922.36512177228</v>
      </c>
      <c r="L23" s="4">
        <f t="shared" si="5"/>
        <v>2698.3493667963612</v>
      </c>
      <c r="M23" s="4">
        <f t="shared" si="6"/>
        <v>32380.192401556335</v>
      </c>
      <c r="N23" s="4">
        <f t="shared" si="10"/>
        <v>0</v>
      </c>
      <c r="O23" s="4">
        <f t="shared" si="7"/>
        <v>20715.14950575</v>
      </c>
      <c r="P23" s="4">
        <f t="shared" si="2"/>
        <v>940716.05639587494</v>
      </c>
      <c r="Q23" s="4">
        <f t="shared" si="3"/>
        <v>578200.94004524988</v>
      </c>
      <c r="R23" s="8">
        <f t="shared" si="8"/>
        <v>9.9999999999999881E-3</v>
      </c>
      <c r="S23" s="6">
        <f t="shared" si="9"/>
        <v>9.9999999999999881E-3</v>
      </c>
      <c r="U23" s="6">
        <v>4.7069001330005689E-2</v>
      </c>
    </row>
    <row r="24" spans="1:21" x14ac:dyDescent="0.35">
      <c r="A24">
        <v>21</v>
      </c>
      <c r="B24">
        <v>75</v>
      </c>
      <c r="D24" s="4">
        <v>0</v>
      </c>
      <c r="E24" s="4">
        <f t="shared" si="11"/>
        <v>62482</v>
      </c>
      <c r="F24" s="4">
        <f t="shared" si="12"/>
        <v>21249.855817531254</v>
      </c>
      <c r="G24" s="4">
        <f t="shared" si="13"/>
        <v>446246.9721681563</v>
      </c>
      <c r="H24">
        <f>-1125*(1.1)</f>
        <v>-1237.5</v>
      </c>
      <c r="I24" s="4">
        <f t="shared" si="0"/>
        <v>0</v>
      </c>
      <c r="J24" s="4">
        <f t="shared" si="4"/>
        <v>514481.44004524988</v>
      </c>
      <c r="K24" s="4">
        <f t="shared" si="1"/>
        <v>939478.55639587494</v>
      </c>
      <c r="L24" s="4">
        <f t="shared" si="5"/>
        <v>2572.4072002262496</v>
      </c>
      <c r="M24" s="4">
        <f t="shared" si="6"/>
        <v>30868.88640271499</v>
      </c>
      <c r="N24" s="4">
        <f t="shared" si="10"/>
        <v>0</v>
      </c>
      <c r="O24" s="4">
        <f t="shared" si="7"/>
        <v>25499.826981037502</v>
      </c>
      <c r="P24" s="4">
        <f t="shared" si="2"/>
        <v>998419.67697985366</v>
      </c>
      <c r="Q24" s="4">
        <f t="shared" si="3"/>
        <v>552172.70481169736</v>
      </c>
      <c r="R24" s="8">
        <f t="shared" si="8"/>
        <v>9.999999999999995E-3</v>
      </c>
      <c r="S24" s="6">
        <f t="shared" si="9"/>
        <v>9.999999999999995E-3</v>
      </c>
      <c r="U24" s="6">
        <v>4.9389359325734628E-2</v>
      </c>
    </row>
    <row r="25" spans="1:21" x14ac:dyDescent="0.35">
      <c r="A25">
        <v>22</v>
      </c>
      <c r="B25">
        <v>76</v>
      </c>
      <c r="D25" s="4">
        <v>0</v>
      </c>
      <c r="E25" s="4">
        <f t="shared" si="11"/>
        <v>62482</v>
      </c>
      <c r="F25" s="4">
        <f t="shared" si="12"/>
        <v>25436.448608407816</v>
      </c>
      <c r="G25" s="4">
        <f t="shared" si="13"/>
        <v>534165.42077656416</v>
      </c>
      <c r="H25">
        <f>-1315*(1.1)</f>
        <v>-1446.5000000000002</v>
      </c>
      <c r="I25" s="4">
        <f t="shared" si="0"/>
        <v>0</v>
      </c>
      <c r="J25" s="4">
        <f t="shared" si="4"/>
        <v>488244.20481169736</v>
      </c>
      <c r="K25" s="4">
        <f t="shared" si="1"/>
        <v>996973.17697985366</v>
      </c>
      <c r="L25" s="4">
        <f t="shared" si="5"/>
        <v>2441.2210240584864</v>
      </c>
      <c r="M25" s="4">
        <f t="shared" si="6"/>
        <v>29294.65228870184</v>
      </c>
      <c r="N25" s="4">
        <f t="shared" si="10"/>
        <v>0</v>
      </c>
      <c r="O25" s="4">
        <f t="shared" si="7"/>
        <v>30523.738330089378</v>
      </c>
      <c r="P25" s="4">
        <f t="shared" si="2"/>
        <v>1059232.7886227034</v>
      </c>
      <c r="Q25" s="4">
        <f t="shared" si="3"/>
        <v>525067.36784613924</v>
      </c>
      <c r="R25" s="8">
        <f t="shared" si="8"/>
        <v>9.9999999999999985E-3</v>
      </c>
      <c r="S25" s="6">
        <f t="shared" si="9"/>
        <v>9.9999999999999985E-3</v>
      </c>
      <c r="U25" s="6">
        <v>5.1669352440070204E-2</v>
      </c>
    </row>
    <row r="26" spans="1:21" x14ac:dyDescent="0.35">
      <c r="A26">
        <v>23</v>
      </c>
      <c r="B26">
        <v>77</v>
      </c>
      <c r="D26" s="4">
        <v>0</v>
      </c>
      <c r="E26" s="4">
        <f t="shared" si="11"/>
        <v>62482</v>
      </c>
      <c r="F26" s="4">
        <f t="shared" si="12"/>
        <v>29832.371038828209</v>
      </c>
      <c r="G26" s="4">
        <f t="shared" si="13"/>
        <v>626479.79181539232</v>
      </c>
      <c r="H26">
        <f>-1537*(1.1)</f>
        <v>-1690.7</v>
      </c>
      <c r="I26" s="4">
        <f t="shared" si="0"/>
        <v>0</v>
      </c>
      <c r="J26" s="4">
        <f t="shared" si="4"/>
        <v>460894.66784613929</v>
      </c>
      <c r="K26" s="4">
        <f t="shared" si="1"/>
        <v>1057542.0886227034</v>
      </c>
      <c r="L26" s="4">
        <f t="shared" si="5"/>
        <v>2304.4733392306966</v>
      </c>
      <c r="M26" s="4">
        <f t="shared" si="6"/>
        <v>27653.680070768358</v>
      </c>
      <c r="N26" s="4">
        <f t="shared" si="10"/>
        <v>0</v>
      </c>
      <c r="O26" s="4">
        <f t="shared" si="7"/>
        <v>35798.845246593846</v>
      </c>
      <c r="P26" s="4">
        <f t="shared" si="2"/>
        <v>1123299.0872792965</v>
      </c>
      <c r="Q26" s="4">
        <f t="shared" si="3"/>
        <v>496819.29546390416</v>
      </c>
      <c r="R26" s="8">
        <f t="shared" si="8"/>
        <v>9.9999999999999933E-3</v>
      </c>
      <c r="S26" s="6">
        <f t="shared" si="9"/>
        <v>9.9999999999999933E-3</v>
      </c>
      <c r="U26" s="6">
        <v>5.3913013854866465E-2</v>
      </c>
    </row>
    <row r="27" spans="1:21" x14ac:dyDescent="0.35">
      <c r="A27">
        <v>24</v>
      </c>
      <c r="B27">
        <v>78</v>
      </c>
      <c r="D27" s="4">
        <v>0</v>
      </c>
      <c r="E27" s="4">
        <f t="shared" si="11"/>
        <v>62482</v>
      </c>
      <c r="F27" s="4">
        <f t="shared" si="12"/>
        <v>34448.089590769618</v>
      </c>
      <c r="G27" s="4">
        <f t="shared" si="13"/>
        <v>723409.88140616193</v>
      </c>
      <c r="H27">
        <f>-1797*(1.1)</f>
        <v>-1976.7000000000003</v>
      </c>
      <c r="I27" s="4">
        <f t="shared" si="0"/>
        <v>0</v>
      </c>
      <c r="J27" s="4">
        <f t="shared" si="4"/>
        <v>432360.5954639042</v>
      </c>
      <c r="K27" s="4">
        <f t="shared" si="1"/>
        <v>1121322.3872792965</v>
      </c>
      <c r="L27" s="4">
        <f t="shared" si="5"/>
        <v>2161.8029773195212</v>
      </c>
      <c r="M27" s="4">
        <f t="shared" si="6"/>
        <v>25941.635727834251</v>
      </c>
      <c r="N27" s="4">
        <f t="shared" si="10"/>
        <v>0</v>
      </c>
      <c r="O27" s="4">
        <f t="shared" si="7"/>
        <v>41337.707508923537</v>
      </c>
      <c r="P27" s="4">
        <f t="shared" si="2"/>
        <v>1190763.5334933738</v>
      </c>
      <c r="Q27" s="4">
        <f t="shared" si="3"/>
        <v>467353.65208721184</v>
      </c>
      <c r="R27" s="8">
        <f t="shared" si="8"/>
        <v>9.9999999999999933E-3</v>
      </c>
      <c r="S27" s="6">
        <f t="shared" si="9"/>
        <v>9.9999999999999933E-3</v>
      </c>
      <c r="U27" s="6">
        <v>5.6120708728459201E-2</v>
      </c>
    </row>
    <row r="28" spans="1:21" x14ac:dyDescent="0.35">
      <c r="A28">
        <v>25</v>
      </c>
      <c r="B28">
        <v>79</v>
      </c>
      <c r="D28" s="4">
        <v>0</v>
      </c>
      <c r="E28" s="4">
        <f t="shared" si="11"/>
        <v>62482</v>
      </c>
      <c r="F28" s="4">
        <f t="shared" si="12"/>
        <v>39294.5940703081</v>
      </c>
      <c r="G28" s="4">
        <f t="shared" si="13"/>
        <v>825186.47547647008</v>
      </c>
      <c r="H28">
        <f>-2098*(1.1)</f>
        <v>-2307.8000000000002</v>
      </c>
      <c r="I28" s="4">
        <f t="shared" si="0"/>
        <v>0</v>
      </c>
      <c r="J28" s="4">
        <f t="shared" si="4"/>
        <v>402563.8520872118</v>
      </c>
      <c r="K28" s="4">
        <f t="shared" si="1"/>
        <v>1188455.7334933737</v>
      </c>
      <c r="L28" s="4">
        <f t="shared" si="5"/>
        <v>2012.8192604360588</v>
      </c>
      <c r="M28" s="4">
        <f t="shared" si="6"/>
        <v>24153.831125232708</v>
      </c>
      <c r="N28" s="4">
        <f t="shared" si="10"/>
        <v>0</v>
      </c>
      <c r="O28" s="4">
        <f t="shared" si="7"/>
        <v>47153.512884369717</v>
      </c>
      <c r="P28" s="4">
        <f t="shared" si="2"/>
        <v>1261775.8967634123</v>
      </c>
      <c r="Q28" s="4">
        <f t="shared" si="3"/>
        <v>436589.4212869422</v>
      </c>
      <c r="R28" s="8">
        <f t="shared" si="8"/>
        <v>9.9999999999999967E-3</v>
      </c>
      <c r="S28" s="6">
        <f t="shared" si="9"/>
        <v>9.9999999999999967E-3</v>
      </c>
      <c r="U28" s="6">
        <v>5.8290514545583649E-2</v>
      </c>
    </row>
    <row r="29" spans="1:21" x14ac:dyDescent="0.35">
      <c r="A29">
        <v>26</v>
      </c>
      <c r="B29">
        <v>80</v>
      </c>
      <c r="D29" s="4">
        <v>0</v>
      </c>
      <c r="E29" s="4">
        <f t="shared" si="11"/>
        <v>62482</v>
      </c>
      <c r="F29" s="4">
        <f t="shared" si="12"/>
        <v>44383.42377382351</v>
      </c>
      <c r="G29" s="4">
        <f t="shared" si="13"/>
        <v>932051.89925029362</v>
      </c>
      <c r="H29">
        <f>-2450*(1.1)</f>
        <v>-2695</v>
      </c>
      <c r="I29" s="4">
        <f t="shared" si="0"/>
        <v>0</v>
      </c>
      <c r="J29" s="4">
        <f t="shared" si="4"/>
        <v>371412.4212869422</v>
      </c>
      <c r="K29" s="4">
        <f t="shared" si="1"/>
        <v>1259080.8967634123</v>
      </c>
      <c r="L29" s="4">
        <f t="shared" si="5"/>
        <v>1857.062106434711</v>
      </c>
      <c r="M29" s="4">
        <f t="shared" si="6"/>
        <v>22284.745277216531</v>
      </c>
      <c r="N29" s="4">
        <f t="shared" si="10"/>
        <v>0</v>
      </c>
      <c r="O29" s="4">
        <f t="shared" si="7"/>
        <v>53260.1085285882</v>
      </c>
      <c r="P29" s="4">
        <f t="shared" si="2"/>
        <v>1336482.8126756516</v>
      </c>
      <c r="Q29" s="4">
        <f t="shared" si="3"/>
        <v>404430.91342535801</v>
      </c>
      <c r="R29" s="8">
        <f t="shared" si="8"/>
        <v>9.9999999999999881E-3</v>
      </c>
      <c r="S29" s="6">
        <f t="shared" si="9"/>
        <v>9.9999999999999881E-3</v>
      </c>
      <c r="U29" s="6">
        <v>6.0418684785498389E-2</v>
      </c>
    </row>
    <row r="30" spans="1:21" x14ac:dyDescent="0.35">
      <c r="A30">
        <v>27</v>
      </c>
      <c r="B30">
        <v>81</v>
      </c>
      <c r="D30" s="4">
        <v>0</v>
      </c>
      <c r="E30" s="4">
        <f t="shared" si="11"/>
        <v>62482</v>
      </c>
      <c r="F30" s="4">
        <f t="shared" si="12"/>
        <v>49726.694962514681</v>
      </c>
      <c r="G30" s="4">
        <f t="shared" si="13"/>
        <v>1044260.5942128083</v>
      </c>
      <c r="H30">
        <f>-2899*(1.1)</f>
        <v>-3188.9</v>
      </c>
      <c r="I30" s="4">
        <f t="shared" si="0"/>
        <v>0</v>
      </c>
      <c r="J30" s="4">
        <f t="shared" si="4"/>
        <v>338760.01342535799</v>
      </c>
      <c r="K30" s="4">
        <f t="shared" si="1"/>
        <v>1333293.9126756517</v>
      </c>
      <c r="L30" s="4">
        <f t="shared" si="5"/>
        <v>1693.8000671267905</v>
      </c>
      <c r="M30" s="4">
        <f t="shared" si="6"/>
        <v>20325.600805521484</v>
      </c>
      <c r="N30" s="4">
        <f t="shared" si="10"/>
        <v>0</v>
      </c>
      <c r="O30" s="4">
        <f t="shared" si="7"/>
        <v>59672.033955017614</v>
      </c>
      <c r="P30" s="4">
        <f t="shared" si="2"/>
        <v>1414985.3475033175</v>
      </c>
      <c r="Q30" s="4">
        <f t="shared" si="3"/>
        <v>370724.75329050922</v>
      </c>
      <c r="R30" s="8">
        <f t="shared" si="8"/>
        <v>9.9999999999999967E-3</v>
      </c>
      <c r="S30" s="6">
        <f t="shared" si="9"/>
        <v>9.9999999999999967E-3</v>
      </c>
      <c r="U30" s="6">
        <v>6.2498884787701714E-2</v>
      </c>
    </row>
    <row r="31" spans="1:21" x14ac:dyDescent="0.35">
      <c r="A31">
        <v>28</v>
      </c>
      <c r="B31">
        <v>82</v>
      </c>
      <c r="D31" s="4">
        <v>0</v>
      </c>
      <c r="E31" s="4">
        <f t="shared" si="11"/>
        <v>62482</v>
      </c>
      <c r="F31" s="4">
        <f t="shared" si="12"/>
        <v>55337.129710640409</v>
      </c>
      <c r="G31" s="4">
        <f t="shared" si="13"/>
        <v>1162079.7239234487</v>
      </c>
      <c r="H31">
        <f>-3428*(1.1)</f>
        <v>-3770.8</v>
      </c>
      <c r="I31" s="4">
        <f t="shared" si="0"/>
        <v>0</v>
      </c>
      <c r="J31" s="4">
        <f t="shared" si="4"/>
        <v>304471.95329050929</v>
      </c>
      <c r="K31" s="4">
        <f t="shared" si="1"/>
        <v>1411214.5475033175</v>
      </c>
      <c r="L31" s="4">
        <f t="shared" si="5"/>
        <v>1522.359766452546</v>
      </c>
      <c r="M31" s="4">
        <f t="shared" si="6"/>
        <v>18268.317197430551</v>
      </c>
      <c r="N31" s="4">
        <f t="shared" si="10"/>
        <v>0</v>
      </c>
      <c r="O31" s="4">
        <f t="shared" si="7"/>
        <v>66404.555652768482</v>
      </c>
      <c r="P31" s="4">
        <f t="shared" si="2"/>
        <v>1497409.7801199693</v>
      </c>
      <c r="Q31" s="4">
        <f t="shared" si="3"/>
        <v>335330.05619652057</v>
      </c>
      <c r="R31" s="8">
        <f t="shared" si="8"/>
        <v>9.9999999999999915E-3</v>
      </c>
      <c r="S31" s="6">
        <f t="shared" si="9"/>
        <v>9.9999999999999915E-3</v>
      </c>
      <c r="U31" s="6">
        <v>6.452599587842478E-2</v>
      </c>
    </row>
    <row r="32" spans="1:21" x14ac:dyDescent="0.35">
      <c r="A32">
        <v>29</v>
      </c>
      <c r="B32">
        <v>83</v>
      </c>
      <c r="D32" s="4">
        <v>0</v>
      </c>
      <c r="E32" s="4">
        <f t="shared" si="11"/>
        <v>62482</v>
      </c>
      <c r="F32" s="4">
        <f t="shared" si="12"/>
        <v>61228.086196172437</v>
      </c>
      <c r="G32" s="4">
        <f t="shared" si="13"/>
        <v>1285789.8101196212</v>
      </c>
      <c r="H32">
        <f>-4047*(1.1)</f>
        <v>-4451.7000000000007</v>
      </c>
      <c r="I32" s="4">
        <f t="shared" si="0"/>
        <v>0</v>
      </c>
      <c r="J32" s="4">
        <f t="shared" si="4"/>
        <v>268396.35619652062</v>
      </c>
      <c r="K32" s="4">
        <f t="shared" si="1"/>
        <v>1492958.0801199693</v>
      </c>
      <c r="L32" s="4">
        <f t="shared" si="5"/>
        <v>1341.9817809826029</v>
      </c>
      <c r="M32" s="4">
        <f t="shared" si="6"/>
        <v>16103.781371791236</v>
      </c>
      <c r="N32" s="4">
        <f t="shared" si="10"/>
        <v>0</v>
      </c>
      <c r="O32" s="4">
        <f t="shared" si="7"/>
        <v>73473.703435406918</v>
      </c>
      <c r="P32" s="4">
        <f t="shared" si="2"/>
        <v>1583877.5467081501</v>
      </c>
      <c r="Q32" s="4">
        <f t="shared" si="3"/>
        <v>298087.73658852885</v>
      </c>
      <c r="R32" s="8">
        <f t="shared" si="8"/>
        <v>9.999999999999995E-3</v>
      </c>
      <c r="S32" s="6">
        <f t="shared" si="9"/>
        <v>9.999999999999995E-3</v>
      </c>
      <c r="U32" s="6">
        <v>6.6494988500084062E-2</v>
      </c>
    </row>
    <row r="33" spans="1:21" x14ac:dyDescent="0.35">
      <c r="A33">
        <v>30</v>
      </c>
      <c r="B33">
        <v>84</v>
      </c>
      <c r="D33" s="4">
        <v>0</v>
      </c>
      <c r="E33" s="4">
        <f t="shared" si="11"/>
        <v>62482</v>
      </c>
      <c r="F33" s="4">
        <f t="shared" si="12"/>
        <v>67413.590505981061</v>
      </c>
      <c r="G33" s="4">
        <f t="shared" si="13"/>
        <v>1415685.4006256023</v>
      </c>
      <c r="H33">
        <f>-4775*(1.1)</f>
        <v>-5252.5</v>
      </c>
      <c r="I33" s="4">
        <f t="shared" si="0"/>
        <v>0</v>
      </c>
      <c r="J33" s="4">
        <f t="shared" si="4"/>
        <v>230353.23658852885</v>
      </c>
      <c r="K33" s="4">
        <f t="shared" si="1"/>
        <v>1578625.0467081501</v>
      </c>
      <c r="L33" s="4">
        <f t="shared" si="5"/>
        <v>1151.766182942644</v>
      </c>
      <c r="M33" s="4">
        <f t="shared" si="6"/>
        <v>13821.194195311729</v>
      </c>
      <c r="N33" s="4">
        <f t="shared" si="10"/>
        <v>0</v>
      </c>
      <c r="O33" s="4">
        <f t="shared" si="7"/>
        <v>80896.30860717727</v>
      </c>
      <c r="P33" s="4">
        <f t="shared" si="2"/>
        <v>1674494.3156935817</v>
      </c>
      <c r="Q33" s="4">
        <f t="shared" si="3"/>
        <v>258808.91506797937</v>
      </c>
      <c r="R33" s="8">
        <f t="shared" si="8"/>
        <v>9.9999999999999985E-3</v>
      </c>
      <c r="S33" s="6">
        <f t="shared" si="9"/>
        <v>9.9999999999999985E-3</v>
      </c>
      <c r="U33" s="6">
        <v>6.8400975518888574E-2</v>
      </c>
    </row>
    <row r="34" spans="1:21" x14ac:dyDescent="0.35">
      <c r="A34">
        <v>31</v>
      </c>
      <c r="B34">
        <v>85</v>
      </c>
      <c r="D34" s="4">
        <v>0</v>
      </c>
      <c r="E34" s="4">
        <f t="shared" si="11"/>
        <v>62482</v>
      </c>
      <c r="F34" s="4">
        <f t="shared" si="12"/>
        <v>73908.370031280123</v>
      </c>
      <c r="G34" s="4">
        <f t="shared" si="13"/>
        <v>1552075.7706568826</v>
      </c>
      <c r="H34">
        <f>-5687*(1.1)</f>
        <v>-6255.7000000000007</v>
      </c>
      <c r="I34" s="4">
        <f t="shared" si="0"/>
        <v>0</v>
      </c>
      <c r="J34" s="4">
        <f t="shared" si="4"/>
        <v>190071.21506797941</v>
      </c>
      <c r="K34" s="4">
        <f t="shared" si="1"/>
        <v>1668238.6156935818</v>
      </c>
      <c r="L34" s="4">
        <f t="shared" si="5"/>
        <v>950.35607533989662</v>
      </c>
      <c r="M34" s="4">
        <f t="shared" si="6"/>
        <v>11404.272904078764</v>
      </c>
      <c r="N34" s="4">
        <f t="shared" si="10"/>
        <v>0</v>
      </c>
      <c r="O34" s="4">
        <f t="shared" si="7"/>
        <v>88690.044037536136</v>
      </c>
      <c r="P34" s="4">
        <f t="shared" si="2"/>
        <v>1769283.2887105364</v>
      </c>
      <c r="Q34" s="4">
        <f t="shared" si="3"/>
        <v>217207.51805365388</v>
      </c>
      <c r="R34" s="8">
        <f t="shared" si="8"/>
        <v>9.9999999999999933E-3</v>
      </c>
      <c r="S34" s="6">
        <f t="shared" si="9"/>
        <v>9.9999999999999933E-3</v>
      </c>
      <c r="U34" s="6">
        <v>7.0238102461346541E-2</v>
      </c>
    </row>
    <row r="35" spans="1:21" x14ac:dyDescent="0.35">
      <c r="A35">
        <v>32</v>
      </c>
      <c r="B35">
        <v>86</v>
      </c>
      <c r="D35" s="4">
        <v>0</v>
      </c>
      <c r="E35" s="4">
        <f t="shared" si="11"/>
        <v>62482</v>
      </c>
      <c r="F35" s="4">
        <f t="shared" si="12"/>
        <v>80727.888532844139</v>
      </c>
      <c r="G35" s="4">
        <f t="shared" si="13"/>
        <v>1695285.6591897267</v>
      </c>
      <c r="H35">
        <f>-6779*(1.1)</f>
        <v>-7456.9000000000005</v>
      </c>
      <c r="I35" s="4">
        <f t="shared" si="0"/>
        <v>0</v>
      </c>
      <c r="J35" s="4">
        <f t="shared" si="4"/>
        <v>147268.61805365398</v>
      </c>
      <c r="K35" s="4">
        <f t="shared" si="1"/>
        <v>1761826.3887105365</v>
      </c>
      <c r="L35" s="4">
        <f t="shared" si="5"/>
        <v>736.34309026826986</v>
      </c>
      <c r="M35" s="4">
        <f t="shared" si="6"/>
        <v>8836.1170832192383</v>
      </c>
      <c r="N35" s="4">
        <f t="shared" si="10"/>
        <v>0</v>
      </c>
      <c r="O35" s="4">
        <f t="shared" si="7"/>
        <v>96873.466239412955</v>
      </c>
      <c r="P35" s="4">
        <f t="shared" si="2"/>
        <v>1868272.3151234372</v>
      </c>
      <c r="Q35" s="4">
        <f t="shared" si="3"/>
        <v>172986.65593371051</v>
      </c>
      <c r="R35" s="8">
        <f t="shared" si="8"/>
        <v>9.999999999999995E-3</v>
      </c>
      <c r="S35" s="6">
        <f t="shared" si="9"/>
        <v>9.999999999999995E-3</v>
      </c>
      <c r="U35" s="6">
        <v>7.2002407381845712E-2</v>
      </c>
    </row>
    <row r="36" spans="1:21" x14ac:dyDescent="0.35">
      <c r="A36">
        <v>33</v>
      </c>
      <c r="B36">
        <v>87</v>
      </c>
      <c r="D36" s="4">
        <v>0</v>
      </c>
      <c r="E36" s="4">
        <f t="shared" si="11"/>
        <v>62482</v>
      </c>
      <c r="F36" s="4">
        <f t="shared" si="12"/>
        <v>87888.382959486335</v>
      </c>
      <c r="G36" s="4">
        <f t="shared" si="13"/>
        <v>1845656.0421492131</v>
      </c>
      <c r="H36">
        <f>-8081*(1.1)</f>
        <v>-8889.1</v>
      </c>
      <c r="I36" s="4">
        <f t="shared" si="0"/>
        <v>0</v>
      </c>
      <c r="J36" s="4">
        <f t="shared" si="4"/>
        <v>101615.55593371042</v>
      </c>
      <c r="K36" s="4">
        <f t="shared" si="1"/>
        <v>1859383.2151234371</v>
      </c>
      <c r="L36" s="4">
        <f t="shared" si="5"/>
        <v>508.07777966855156</v>
      </c>
      <c r="M36" s="4">
        <f t="shared" si="6"/>
        <v>6096.933356022625</v>
      </c>
      <c r="N36" s="4">
        <f t="shared" si="10"/>
        <v>0</v>
      </c>
      <c r="O36" s="4">
        <f t="shared" si="7"/>
        <v>105466.0595513836</v>
      </c>
      <c r="P36" s="4">
        <f t="shared" si="2"/>
        <v>1971454.285810512</v>
      </c>
      <c r="Q36" s="4">
        <f t="shared" si="3"/>
        <v>125798.24366129888</v>
      </c>
      <c r="R36" s="8">
        <f t="shared" si="8"/>
        <v>0.01</v>
      </c>
      <c r="S36" s="6">
        <f t="shared" si="9"/>
        <v>0.01</v>
      </c>
      <c r="U36" s="6">
        <v>7.3690821567798048E-2</v>
      </c>
    </row>
    <row r="37" spans="1:21" x14ac:dyDescent="0.35">
      <c r="A37">
        <v>34</v>
      </c>
      <c r="B37">
        <v>88</v>
      </c>
      <c r="D37" s="4">
        <v>0</v>
      </c>
      <c r="E37" s="4">
        <f t="shared" si="11"/>
        <v>62482</v>
      </c>
      <c r="F37" s="4">
        <f t="shared" si="12"/>
        <v>95406.902107460657</v>
      </c>
      <c r="G37" s="4">
        <f t="shared" si="13"/>
        <v>2003544.9442566738</v>
      </c>
      <c r="H37">
        <f>-9657*(1.1)</f>
        <v>-10622.7</v>
      </c>
      <c r="I37" s="4">
        <f t="shared" si="0"/>
        <v>0</v>
      </c>
      <c r="J37" s="4">
        <f t="shared" si="4"/>
        <v>52693.543661298929</v>
      </c>
      <c r="K37" s="4">
        <f t="shared" si="1"/>
        <v>1960831.5858105121</v>
      </c>
      <c r="L37" s="4">
        <f t="shared" si="5"/>
        <v>263.46771830649465</v>
      </c>
      <c r="M37" s="4">
        <f t="shared" si="6"/>
        <v>3161.6126196779355</v>
      </c>
      <c r="N37" s="4">
        <f t="shared" si="10"/>
        <v>0</v>
      </c>
      <c r="O37" s="4">
        <f t="shared" si="7"/>
        <v>114488.28252895278</v>
      </c>
      <c r="P37" s="4">
        <f t="shared" si="2"/>
        <v>2078744.9486774493</v>
      </c>
      <c r="Q37" s="4">
        <f t="shared" si="3"/>
        <v>75200.004420775454</v>
      </c>
      <c r="R37" s="8">
        <f t="shared" si="8"/>
        <v>9.9999999999999967E-3</v>
      </c>
      <c r="S37" s="6">
        <f t="shared" si="9"/>
        <v>9.9999999999999967E-3</v>
      </c>
      <c r="U37" s="6">
        <v>7.5300656929708554E-2</v>
      </c>
    </row>
    <row r="38" spans="1:21" x14ac:dyDescent="0.35">
      <c r="A38">
        <v>35</v>
      </c>
      <c r="B38">
        <v>89</v>
      </c>
      <c r="D38" s="4">
        <v>0</v>
      </c>
      <c r="E38" s="4">
        <f t="shared" si="11"/>
        <v>62482</v>
      </c>
      <c r="F38" s="4">
        <f t="shared" si="12"/>
        <v>103301.3472128337</v>
      </c>
      <c r="G38" s="4">
        <f t="shared" si="13"/>
        <v>2169328.2914695074</v>
      </c>
      <c r="H38">
        <f>-11544*(1.1)</f>
        <v>-12698.400000000001</v>
      </c>
      <c r="I38" s="4">
        <f t="shared" si="0"/>
        <v>0</v>
      </c>
      <c r="J38" s="13">
        <f t="shared" si="4"/>
        <v>19.604420775547624</v>
      </c>
      <c r="K38" s="4">
        <f t="shared" si="1"/>
        <v>2066046.5486774493</v>
      </c>
      <c r="L38" s="4">
        <f t="shared" si="5"/>
        <v>9.8022103878320194E-2</v>
      </c>
      <c r="M38" s="4">
        <f t="shared" si="6"/>
        <v>1.1762652465328574</v>
      </c>
      <c r="N38" s="4">
        <f t="shared" si="10"/>
        <v>0</v>
      </c>
      <c r="O38" s="4">
        <f t="shared" si="7"/>
        <v>123961.61665540043</v>
      </c>
      <c r="P38" s="4">
        <f t="shared" si="2"/>
        <v>2190009.4396202001</v>
      </c>
      <c r="Q38" s="4">
        <f>P38-G38</f>
        <v>20681.148150692694</v>
      </c>
      <c r="R38" s="8">
        <f t="shared" si="8"/>
        <v>9.999999999999995E-3</v>
      </c>
      <c r="S38" s="6">
        <f t="shared" si="9"/>
        <v>9.999999999999995E-3</v>
      </c>
      <c r="U38" s="6">
        <v>7.6830377792073801E-2</v>
      </c>
    </row>
    <row r="39" spans="1:21" x14ac:dyDescent="0.35">
      <c r="A39">
        <v>36</v>
      </c>
      <c r="B39">
        <v>90</v>
      </c>
      <c r="D39" s="4">
        <v>0</v>
      </c>
      <c r="E39" s="4">
        <v>0</v>
      </c>
      <c r="F39" s="4">
        <f t="shared" si="12"/>
        <v>108466.41457347537</v>
      </c>
      <c r="G39" s="4">
        <f t="shared" si="13"/>
        <v>2277794.7060429826</v>
      </c>
      <c r="H39">
        <f>-13731*(1.1)</f>
        <v>-15104.1</v>
      </c>
      <c r="I39" s="4">
        <f t="shared" si="0"/>
        <v>0</v>
      </c>
      <c r="J39" s="4">
        <f t="shared" si="4"/>
        <v>5577.0481506926008</v>
      </c>
      <c r="K39" s="4">
        <f t="shared" si="1"/>
        <v>2174905.3396202</v>
      </c>
      <c r="L39" s="4">
        <f t="shared" si="5"/>
        <v>27.885240753463588</v>
      </c>
      <c r="M39" s="4">
        <f t="shared" si="6"/>
        <v>334.62288904155605</v>
      </c>
      <c r="N39" s="4">
        <f t="shared" si="10"/>
        <v>0</v>
      </c>
      <c r="O39" s="4">
        <f t="shared" si="7"/>
        <v>130159.69748817044</v>
      </c>
      <c r="P39" s="4">
        <f t="shared" si="2"/>
        <v>2305427.5452381657</v>
      </c>
      <c r="Q39" s="4">
        <f>P39-G39</f>
        <v>27632.839195183013</v>
      </c>
      <c r="R39" s="8">
        <f t="shared" si="8"/>
        <v>9.9999999999999967E-3</v>
      </c>
      <c r="S39" s="6">
        <f t="shared" si="9"/>
        <v>9.9999999999999967E-3</v>
      </c>
      <c r="U39" s="6">
        <v>7.826282271819518E-2</v>
      </c>
    </row>
    <row r="40" spans="1:21" x14ac:dyDescent="0.35">
      <c r="A40">
        <v>37</v>
      </c>
      <c r="B40">
        <v>91</v>
      </c>
      <c r="D40" s="4">
        <v>0</v>
      </c>
      <c r="E40" s="4">
        <v>0</v>
      </c>
      <c r="F40" s="4">
        <f t="shared" si="12"/>
        <v>113889.73530214914</v>
      </c>
      <c r="G40" s="4">
        <f t="shared" si="13"/>
        <v>2391684.441345132</v>
      </c>
      <c r="H40">
        <f>-13019*(1.1)</f>
        <v>-14320.900000000001</v>
      </c>
      <c r="I40" s="4">
        <f t="shared" si="0"/>
        <v>0</v>
      </c>
      <c r="J40" s="4">
        <f t="shared" si="4"/>
        <v>13311.939195183106</v>
      </c>
      <c r="K40" s="4">
        <f t="shared" si="1"/>
        <v>2291106.6452381657</v>
      </c>
      <c r="L40" s="4">
        <f t="shared" si="5"/>
        <v>66.55969597591465</v>
      </c>
      <c r="M40" s="4">
        <f t="shared" si="6"/>
        <v>798.71635171098637</v>
      </c>
      <c r="N40" s="4">
        <f t="shared" si="10"/>
        <v>0</v>
      </c>
      <c r="O40" s="4">
        <f t="shared" si="7"/>
        <v>136667.68236257895</v>
      </c>
      <c r="P40" s="4">
        <f t="shared" si="2"/>
        <v>2428639.6036484316</v>
      </c>
      <c r="Q40" s="4">
        <f t="shared" si="3"/>
        <v>36955.162303299643</v>
      </c>
      <c r="R40" s="8">
        <f t="shared" si="8"/>
        <v>9.9999999999999933E-3</v>
      </c>
      <c r="S40" s="6">
        <f t="shared" si="9"/>
        <v>9.9999999999999933E-3</v>
      </c>
      <c r="U40" s="6">
        <v>7.9604719903108689E-2</v>
      </c>
    </row>
    <row r="41" spans="1:21" x14ac:dyDescent="0.35">
      <c r="A41">
        <v>38</v>
      </c>
      <c r="B41">
        <v>92</v>
      </c>
      <c r="D41" s="4">
        <v>0</v>
      </c>
      <c r="E41" s="4">
        <v>0</v>
      </c>
      <c r="F41" s="4">
        <f t="shared" si="12"/>
        <v>119584.2220672566</v>
      </c>
      <c r="G41" s="4">
        <f t="shared" si="13"/>
        <v>2511268.6634123884</v>
      </c>
      <c r="H41">
        <f>-11445*(1.1)</f>
        <v>-12589.500000000002</v>
      </c>
      <c r="I41" s="4">
        <f t="shared" si="0"/>
        <v>0</v>
      </c>
      <c r="J41" s="4">
        <f t="shared" si="4"/>
        <v>24365.662303299643</v>
      </c>
      <c r="K41" s="4">
        <f t="shared" si="1"/>
        <v>2416050.1036484316</v>
      </c>
      <c r="L41" s="4">
        <f t="shared" si="5"/>
        <v>121.82831151649894</v>
      </c>
      <c r="M41" s="4">
        <f t="shared" si="6"/>
        <v>1461.9397381979786</v>
      </c>
      <c r="N41" s="4">
        <f t="shared" si="10"/>
        <v>0</v>
      </c>
      <c r="O41" s="4">
        <f t="shared" si="7"/>
        <v>143501.0664807079</v>
      </c>
      <c r="P41" s="4">
        <f t="shared" si="2"/>
        <v>2561134.9381788541</v>
      </c>
      <c r="Q41" s="4">
        <f t="shared" si="3"/>
        <v>49866.274766465649</v>
      </c>
      <c r="R41" s="8">
        <f t="shared" si="8"/>
        <v>9.9999999999999915E-3</v>
      </c>
      <c r="S41" s="6">
        <f t="shared" si="9"/>
        <v>9.9999999999999915E-3</v>
      </c>
      <c r="U41" s="6">
        <v>8.0869374973858932E-2</v>
      </c>
    </row>
    <row r="42" spans="1:21" x14ac:dyDescent="0.35">
      <c r="A42">
        <v>39</v>
      </c>
      <c r="B42">
        <v>93</v>
      </c>
      <c r="D42" s="4">
        <v>0</v>
      </c>
      <c r="E42" s="4">
        <v>0</v>
      </c>
      <c r="F42" s="4">
        <f t="shared" si="12"/>
        <v>125563.43317061942</v>
      </c>
      <c r="G42" s="4">
        <f t="shared" si="13"/>
        <v>2636832.0965830078</v>
      </c>
      <c r="H42">
        <f>-8774*(1.1)</f>
        <v>-9651.4000000000015</v>
      </c>
      <c r="I42" s="4">
        <f t="shared" si="0"/>
        <v>0</v>
      </c>
      <c r="J42" s="4">
        <f t="shared" si="4"/>
        <v>40214.874766465742</v>
      </c>
      <c r="K42" s="4">
        <f t="shared" si="1"/>
        <v>2551483.5381788542</v>
      </c>
      <c r="L42" s="4">
        <f t="shared" si="5"/>
        <v>201.07437383232872</v>
      </c>
      <c r="M42" s="4">
        <f t="shared" si="6"/>
        <v>2412.8924859879444</v>
      </c>
      <c r="N42" s="4">
        <f t="shared" si="10"/>
        <v>0</v>
      </c>
      <c r="O42" s="4">
        <f t="shared" si="7"/>
        <v>150676.1198047433</v>
      </c>
      <c r="P42" s="4">
        <f t="shared" si="2"/>
        <v>2704773.6248434177</v>
      </c>
      <c r="Q42" s="4">
        <f t="shared" si="3"/>
        <v>67941.528260409832</v>
      </c>
      <c r="R42" s="8">
        <f t="shared" si="8"/>
        <v>9.9999999999999985E-3</v>
      </c>
      <c r="S42" s="6">
        <f t="shared" si="9"/>
        <v>9.9999999999999985E-3</v>
      </c>
      <c r="U42" s="6">
        <v>8.2068721050770677E-2</v>
      </c>
    </row>
    <row r="43" spans="1:21" x14ac:dyDescent="0.35">
      <c r="A43">
        <v>40</v>
      </c>
      <c r="B43">
        <v>94</v>
      </c>
      <c r="D43" s="4">
        <v>0</v>
      </c>
      <c r="E43" s="4">
        <v>0</v>
      </c>
      <c r="F43" s="4">
        <f t="shared" si="12"/>
        <v>131841.6048291504</v>
      </c>
      <c r="G43" s="4">
        <f t="shared" si="13"/>
        <v>2768673.7014121581</v>
      </c>
      <c r="H43">
        <f>-4698*(1.1)</f>
        <v>-5167.8</v>
      </c>
      <c r="I43" s="4">
        <f t="shared" si="0"/>
        <v>0</v>
      </c>
      <c r="J43" s="4">
        <f t="shared" si="4"/>
        <v>62773.728260410018</v>
      </c>
      <c r="K43" s="4">
        <f t="shared" si="1"/>
        <v>2699605.8248434179</v>
      </c>
      <c r="L43" s="4">
        <f t="shared" si="5"/>
        <v>313.86864130205083</v>
      </c>
      <c r="M43" s="4">
        <f t="shared" si="6"/>
        <v>3766.4236956246009</v>
      </c>
      <c r="N43" s="4">
        <f t="shared" si="10"/>
        <v>0</v>
      </c>
      <c r="O43" s="4">
        <f t="shared" si="7"/>
        <v>158209.92579498046</v>
      </c>
      <c r="P43" s="4">
        <f t="shared" si="2"/>
        <v>2861896.0429753251</v>
      </c>
      <c r="Q43" s="4">
        <f t="shared" si="3"/>
        <v>93222.34156316705</v>
      </c>
      <c r="R43" s="8">
        <f t="shared" si="8"/>
        <v>9.9999999999999933E-3</v>
      </c>
      <c r="S43" s="6">
        <f t="shared" si="9"/>
        <v>9.9999999999999933E-3</v>
      </c>
      <c r="U43" s="6">
        <v>8.3213610306416275E-2</v>
      </c>
    </row>
    <row r="44" spans="1:21" x14ac:dyDescent="0.35">
      <c r="A44">
        <v>41</v>
      </c>
      <c r="B44">
        <v>95</v>
      </c>
      <c r="D44" s="4">
        <v>0</v>
      </c>
      <c r="E44" s="4">
        <v>0</v>
      </c>
      <c r="F44" s="4">
        <f t="shared" si="12"/>
        <v>138433.6850706079</v>
      </c>
      <c r="G44" s="4">
        <f t="shared" si="13"/>
        <v>2907107.3864827659</v>
      </c>
      <c r="H44">
        <f t="shared" ref="H44:H69" si="14">-60*(1.1)</f>
        <v>-66</v>
      </c>
      <c r="I44" s="4">
        <f t="shared" si="0"/>
        <v>0</v>
      </c>
      <c r="J44" s="4">
        <f t="shared" si="4"/>
        <v>93156.34156316705</v>
      </c>
      <c r="K44" s="4">
        <f t="shared" si="1"/>
        <v>2861830.0429753251</v>
      </c>
      <c r="L44" s="4">
        <f t="shared" si="5"/>
        <v>465.78170781583572</v>
      </c>
      <c r="M44" s="4">
        <f t="shared" si="6"/>
        <v>5589.3804937900231</v>
      </c>
      <c r="N44" s="4">
        <f t="shared" si="10"/>
        <v>0</v>
      </c>
      <c r="O44" s="4">
        <f t="shared" si="7"/>
        <v>166120.42208472948</v>
      </c>
      <c r="P44" s="4">
        <f t="shared" si="2"/>
        <v>3034005.6272616605</v>
      </c>
      <c r="Q44" s="4">
        <f t="shared" si="3"/>
        <v>126898.24077889463</v>
      </c>
      <c r="R44" s="8">
        <f t="shared" si="8"/>
        <v>0.01</v>
      </c>
      <c r="S44" s="6">
        <f t="shared" si="9"/>
        <v>0.01</v>
      </c>
      <c r="U44" s="6">
        <v>8.4304848756646011E-2</v>
      </c>
    </row>
    <row r="45" spans="1:21" x14ac:dyDescent="0.35">
      <c r="A45">
        <v>42</v>
      </c>
      <c r="B45">
        <v>96</v>
      </c>
      <c r="D45" s="4">
        <v>0</v>
      </c>
      <c r="E45" s="4">
        <v>0</v>
      </c>
      <c r="F45" s="4">
        <f t="shared" si="12"/>
        <v>145355.3693241383</v>
      </c>
      <c r="G45" s="4">
        <f t="shared" si="13"/>
        <v>3052462.7558069043</v>
      </c>
      <c r="H45">
        <f t="shared" si="14"/>
        <v>-66</v>
      </c>
      <c r="I45" s="4">
        <f t="shared" si="0"/>
        <v>0</v>
      </c>
      <c r="J45" s="4">
        <f t="shared" si="4"/>
        <v>126832.24077889463</v>
      </c>
      <c r="K45" s="4">
        <f t="shared" si="1"/>
        <v>3033939.6272616605</v>
      </c>
      <c r="L45" s="4">
        <f t="shared" si="5"/>
        <v>634.16120389447269</v>
      </c>
      <c r="M45" s="4">
        <f t="shared" si="6"/>
        <v>7609.9344467336778</v>
      </c>
      <c r="N45" s="4">
        <f t="shared" si="10"/>
        <v>0</v>
      </c>
      <c r="O45" s="4">
        <f t="shared" si="7"/>
        <v>174426.44318896596</v>
      </c>
      <c r="P45" s="4">
        <f t="shared" si="2"/>
        <v>3216610.1661012541</v>
      </c>
      <c r="Q45" s="4">
        <f t="shared" si="3"/>
        <v>164147.41029434977</v>
      </c>
      <c r="R45" s="8">
        <f t="shared" si="8"/>
        <v>0.01</v>
      </c>
      <c r="S45" s="6">
        <f t="shared" si="9"/>
        <v>0.01</v>
      </c>
      <c r="U45" s="6">
        <v>8.530932840451233E-2</v>
      </c>
    </row>
    <row r="46" spans="1:21" x14ac:dyDescent="0.35">
      <c r="A46">
        <v>43</v>
      </c>
      <c r="B46">
        <v>97</v>
      </c>
      <c r="D46" s="4">
        <v>0</v>
      </c>
      <c r="E46" s="4">
        <v>0</v>
      </c>
      <c r="F46" s="4">
        <f t="shared" si="12"/>
        <v>152623.13779034521</v>
      </c>
      <c r="G46" s="4">
        <f t="shared" si="13"/>
        <v>3205085.8935972494</v>
      </c>
      <c r="H46">
        <f t="shared" si="14"/>
        <v>-66</v>
      </c>
      <c r="I46" s="4">
        <f t="shared" si="0"/>
        <v>0</v>
      </c>
      <c r="J46" s="4">
        <f t="shared" si="4"/>
        <v>164081.41029434977</v>
      </c>
      <c r="K46" s="4">
        <f t="shared" si="1"/>
        <v>3216544.1661012541</v>
      </c>
      <c r="L46" s="4">
        <f t="shared" si="5"/>
        <v>820.40705147174936</v>
      </c>
      <c r="M46" s="4">
        <f t="shared" si="6"/>
        <v>9844.8846176609859</v>
      </c>
      <c r="N46" s="4">
        <f t="shared" si="10"/>
        <v>0</v>
      </c>
      <c r="O46" s="4">
        <f t="shared" si="7"/>
        <v>183147.76534841425</v>
      </c>
      <c r="P46" s="4">
        <f t="shared" si="2"/>
        <v>3410357.2231188011</v>
      </c>
      <c r="Q46" s="4">
        <f t="shared" si="3"/>
        <v>205271.32952155173</v>
      </c>
      <c r="R46" s="8">
        <f t="shared" si="8"/>
        <v>0.01</v>
      </c>
      <c r="S46" s="6">
        <f t="shared" si="9"/>
        <v>0.01</v>
      </c>
      <c r="U46" s="6">
        <v>8.6234800537430711E-2</v>
      </c>
    </row>
    <row r="47" spans="1:21" x14ac:dyDescent="0.35">
      <c r="A47">
        <v>44</v>
      </c>
      <c r="B47">
        <v>98</v>
      </c>
      <c r="D47" s="4">
        <v>0</v>
      </c>
      <c r="E47" s="4">
        <v>0</v>
      </c>
      <c r="F47" s="4">
        <f t="shared" si="12"/>
        <v>160254.29467986248</v>
      </c>
      <c r="G47" s="4">
        <f t="shared" si="13"/>
        <v>3365340.1882771119</v>
      </c>
      <c r="H47">
        <f t="shared" si="14"/>
        <v>-66</v>
      </c>
      <c r="I47" s="4">
        <f t="shared" si="0"/>
        <v>0</v>
      </c>
      <c r="J47" s="4">
        <f t="shared" si="4"/>
        <v>205205.32952155173</v>
      </c>
      <c r="K47" s="4">
        <f t="shared" si="1"/>
        <v>3410291.2231188011</v>
      </c>
      <c r="L47" s="4">
        <f t="shared" si="5"/>
        <v>1026.0266476077588</v>
      </c>
      <c r="M47" s="4">
        <f t="shared" si="6"/>
        <v>12312.319771293103</v>
      </c>
      <c r="N47" s="4">
        <f t="shared" si="10"/>
        <v>0</v>
      </c>
      <c r="O47" s="4">
        <f t="shared" si="7"/>
        <v>192305.15361583495</v>
      </c>
      <c r="P47" s="4">
        <f t="shared" si="2"/>
        <v>3615934.7231535371</v>
      </c>
      <c r="Q47" s="4">
        <f t="shared" si="3"/>
        <v>250594.53487642528</v>
      </c>
      <c r="R47" s="8">
        <f t="shared" si="8"/>
        <v>9.9999999999999933E-3</v>
      </c>
      <c r="S47" s="6">
        <f t="shared" si="9"/>
        <v>9.9999999999999933E-3</v>
      </c>
      <c r="U47" s="6">
        <v>8.7088268801154056E-2</v>
      </c>
    </row>
    <row r="48" spans="1:21" x14ac:dyDescent="0.35">
      <c r="A48">
        <v>45</v>
      </c>
      <c r="B48">
        <v>99</v>
      </c>
      <c r="D48" s="4">
        <v>0</v>
      </c>
      <c r="E48" s="4">
        <v>0</v>
      </c>
      <c r="F48" s="4">
        <f t="shared" si="12"/>
        <v>168267.00941385562</v>
      </c>
      <c r="G48" s="4">
        <f t="shared" si="13"/>
        <v>3533607.1976909675</v>
      </c>
      <c r="H48">
        <f t="shared" si="14"/>
        <v>-66</v>
      </c>
      <c r="I48" s="4">
        <f t="shared" si="0"/>
        <v>0</v>
      </c>
      <c r="J48" s="4">
        <f t="shared" si="4"/>
        <v>250528.53487642528</v>
      </c>
      <c r="K48" s="4">
        <f t="shared" si="1"/>
        <v>3615868.7231535371</v>
      </c>
      <c r="L48" s="4">
        <f t="shared" si="5"/>
        <v>1252.6426743821264</v>
      </c>
      <c r="M48" s="4">
        <f t="shared" si="6"/>
        <v>15031.712092585516</v>
      </c>
      <c r="N48" s="4">
        <f t="shared" si="10"/>
        <v>0</v>
      </c>
      <c r="O48" s="4">
        <f t="shared" si="7"/>
        <v>201920.4112966267</v>
      </c>
      <c r="P48" s="4">
        <f t="shared" si="2"/>
        <v>3834073.4892171314</v>
      </c>
      <c r="Q48" s="4">
        <f t="shared" si="3"/>
        <v>300466.29152616393</v>
      </c>
      <c r="R48" s="8">
        <f t="shared" si="8"/>
        <v>9.9999999999999898E-3</v>
      </c>
      <c r="S48" s="6">
        <f t="shared" si="9"/>
        <v>9.9999999999999898E-3</v>
      </c>
      <c r="U48" s="6">
        <v>8.7876057921840722E-2</v>
      </c>
    </row>
    <row r="49" spans="1:21" x14ac:dyDescent="0.35">
      <c r="A49">
        <v>46</v>
      </c>
      <c r="B49">
        <v>100</v>
      </c>
      <c r="D49" s="4">
        <v>0</v>
      </c>
      <c r="E49" s="4">
        <v>0</v>
      </c>
      <c r="F49" s="4">
        <f t="shared" si="12"/>
        <v>176680.35988454838</v>
      </c>
      <c r="G49" s="4">
        <f t="shared" si="13"/>
        <v>3710287.5575755159</v>
      </c>
      <c r="H49">
        <f t="shared" si="14"/>
        <v>-66</v>
      </c>
      <c r="I49" s="4">
        <f t="shared" si="0"/>
        <v>0</v>
      </c>
      <c r="J49" s="4">
        <f t="shared" si="4"/>
        <v>300400.29152616393</v>
      </c>
      <c r="K49" s="4">
        <f t="shared" si="1"/>
        <v>3834007.4892171314</v>
      </c>
      <c r="L49" s="4">
        <f t="shared" si="5"/>
        <v>1502.001457630819</v>
      </c>
      <c r="M49" s="4">
        <f t="shared" si="6"/>
        <v>18024.017491569834</v>
      </c>
      <c r="N49" s="4">
        <f t="shared" si="10"/>
        <v>0</v>
      </c>
      <c r="O49" s="4">
        <f t="shared" si="7"/>
        <v>212016.43186145803</v>
      </c>
      <c r="P49" s="4">
        <f t="shared" si="2"/>
        <v>4065549.9400277897</v>
      </c>
      <c r="Q49" s="4">
        <f t="shared" si="3"/>
        <v>355262.38245227374</v>
      </c>
      <c r="R49" s="8">
        <f t="shared" si="8"/>
        <v>9.9999999999999915E-3</v>
      </c>
      <c r="S49" s="6">
        <f t="shared" si="9"/>
        <v>9.9999999999999915E-3</v>
      </c>
      <c r="U49" s="6">
        <v>8.8603879025028753E-2</v>
      </c>
    </row>
    <row r="50" spans="1:21" x14ac:dyDescent="0.35">
      <c r="A50">
        <v>47</v>
      </c>
      <c r="B50">
        <v>101</v>
      </c>
      <c r="D50" s="4">
        <v>0</v>
      </c>
      <c r="E50" s="4">
        <v>0</v>
      </c>
      <c r="F50" s="4">
        <f t="shared" si="12"/>
        <v>185514.37787877582</v>
      </c>
      <c r="G50" s="4">
        <f t="shared" si="13"/>
        <v>3895801.9354542918</v>
      </c>
      <c r="H50">
        <f t="shared" si="14"/>
        <v>-66</v>
      </c>
      <c r="I50" s="4">
        <f t="shared" si="0"/>
        <v>0</v>
      </c>
      <c r="J50" s="4">
        <f t="shared" si="4"/>
        <v>355196.38245227374</v>
      </c>
      <c r="K50" s="4">
        <f t="shared" si="1"/>
        <v>4065483.9400277897</v>
      </c>
      <c r="L50" s="4">
        <f t="shared" si="5"/>
        <v>1775.9819122613687</v>
      </c>
      <c r="M50" s="4">
        <f t="shared" si="6"/>
        <v>21311.782947136424</v>
      </c>
      <c r="N50" s="4">
        <f t="shared" si="10"/>
        <v>0</v>
      </c>
      <c r="O50" s="4">
        <f t="shared" si="7"/>
        <v>222617.25345453096</v>
      </c>
      <c r="P50" s="4">
        <f t="shared" si="2"/>
        <v>4311188.9583417187</v>
      </c>
      <c r="Q50" s="4">
        <f t="shared" si="3"/>
        <v>415387.02288742689</v>
      </c>
      <c r="R50" s="8">
        <f t="shared" si="8"/>
        <v>9.999999999999995E-3</v>
      </c>
      <c r="S50" s="6">
        <f t="shared" si="9"/>
        <v>9.999999999999995E-3</v>
      </c>
      <c r="U50" s="6">
        <v>8.9276890467179904E-2</v>
      </c>
    </row>
    <row r="51" spans="1:21" x14ac:dyDescent="0.35">
      <c r="A51">
        <v>48</v>
      </c>
      <c r="B51">
        <v>102</v>
      </c>
      <c r="D51" s="4">
        <v>0</v>
      </c>
      <c r="E51" s="4">
        <v>0</v>
      </c>
      <c r="F51" s="4">
        <f t="shared" si="12"/>
        <v>194790.09677271461</v>
      </c>
      <c r="G51" s="4">
        <f t="shared" si="13"/>
        <v>4090592.0322270063</v>
      </c>
      <c r="H51">
        <f t="shared" si="14"/>
        <v>-66</v>
      </c>
      <c r="I51" s="4">
        <f t="shared" si="0"/>
        <v>0</v>
      </c>
      <c r="J51" s="4">
        <f t="shared" si="4"/>
        <v>415321.02288742689</v>
      </c>
      <c r="K51" s="4">
        <f t="shared" si="1"/>
        <v>4311122.9583417187</v>
      </c>
      <c r="L51" s="4">
        <f t="shared" si="5"/>
        <v>2076.6051144371349</v>
      </c>
      <c r="M51" s="4">
        <f t="shared" si="6"/>
        <v>24919.261373245612</v>
      </c>
      <c r="N51" s="4">
        <f t="shared" si="10"/>
        <v>0</v>
      </c>
      <c r="O51" s="4">
        <f t="shared" si="7"/>
        <v>233748.1161272575</v>
      </c>
      <c r="P51" s="4">
        <f t="shared" si="2"/>
        <v>4571866.9409566578</v>
      </c>
      <c r="Q51" s="4">
        <f t="shared" si="3"/>
        <v>481274.90872965148</v>
      </c>
      <c r="R51" s="8">
        <f t="shared" si="8"/>
        <v>9.9999999999999933E-3</v>
      </c>
      <c r="S51" s="6">
        <f t="shared" si="9"/>
        <v>9.9999999999999933E-3</v>
      </c>
      <c r="U51" s="6">
        <v>8.9899753719270281E-2</v>
      </c>
    </row>
    <row r="52" spans="1:21" x14ac:dyDescent="0.35">
      <c r="A52">
        <v>49</v>
      </c>
      <c r="B52">
        <v>103</v>
      </c>
      <c r="D52" s="4">
        <v>0</v>
      </c>
      <c r="E52" s="4">
        <v>0</v>
      </c>
      <c r="F52" s="4">
        <f t="shared" si="12"/>
        <v>204529.60161135031</v>
      </c>
      <c r="G52" s="4">
        <f t="shared" si="13"/>
        <v>4295121.6338383565</v>
      </c>
      <c r="H52">
        <f t="shared" si="14"/>
        <v>-66</v>
      </c>
      <c r="I52" s="4">
        <f t="shared" si="0"/>
        <v>0</v>
      </c>
      <c r="J52" s="4">
        <f t="shared" si="4"/>
        <v>481208.90872965148</v>
      </c>
      <c r="K52" s="4">
        <f t="shared" si="1"/>
        <v>4571800.9409566578</v>
      </c>
      <c r="L52" s="4">
        <f t="shared" si="5"/>
        <v>2406.0445436482582</v>
      </c>
      <c r="M52" s="4">
        <f t="shared" si="6"/>
        <v>28872.534523779086</v>
      </c>
      <c r="N52" s="4">
        <f t="shared" si="10"/>
        <v>0</v>
      </c>
      <c r="O52" s="4">
        <f t="shared" si="7"/>
        <v>245435.52193362036</v>
      </c>
      <c r="P52" s="4">
        <f t="shared" si="2"/>
        <v>4848515.0419577062</v>
      </c>
      <c r="Q52" s="4">
        <f t="shared" si="3"/>
        <v>553393.40811934974</v>
      </c>
      <c r="R52" s="8">
        <f t="shared" si="8"/>
        <v>9.999999999999995E-3</v>
      </c>
      <c r="S52" s="6">
        <f t="shared" si="9"/>
        <v>9.999999999999995E-3</v>
      </c>
      <c r="U52" s="6">
        <v>9.0476684201012958E-2</v>
      </c>
    </row>
    <row r="53" spans="1:21" x14ac:dyDescent="0.35">
      <c r="A53">
        <v>50</v>
      </c>
      <c r="B53">
        <v>104</v>
      </c>
      <c r="D53" s="4">
        <v>0</v>
      </c>
      <c r="E53" s="4">
        <v>0</v>
      </c>
      <c r="F53" s="4">
        <f t="shared" si="12"/>
        <v>214756.08169191785</v>
      </c>
      <c r="G53" s="4">
        <f t="shared" si="13"/>
        <v>4509877.7155302744</v>
      </c>
      <c r="H53">
        <f t="shared" si="14"/>
        <v>-66</v>
      </c>
      <c r="I53" s="4">
        <f t="shared" si="0"/>
        <v>0</v>
      </c>
      <c r="J53" s="4">
        <f t="shared" si="4"/>
        <v>553327.40811934974</v>
      </c>
      <c r="K53" s="4">
        <f t="shared" si="1"/>
        <v>4848449.0419577062</v>
      </c>
      <c r="L53" s="4">
        <f t="shared" si="5"/>
        <v>2766.6370405967482</v>
      </c>
      <c r="M53" s="4">
        <f t="shared" si="6"/>
        <v>33199.644487160986</v>
      </c>
      <c r="N53" s="4">
        <f t="shared" si="10"/>
        <v>0</v>
      </c>
      <c r="O53" s="4">
        <f t="shared" si="7"/>
        <v>257707.29803030138</v>
      </c>
      <c r="P53" s="4">
        <f t="shared" si="2"/>
        <v>5142122.6215157649</v>
      </c>
      <c r="Q53" s="4">
        <f t="shared" si="3"/>
        <v>632244.90598549042</v>
      </c>
      <c r="R53" s="8">
        <f t="shared" si="8"/>
        <v>9.9999999999999915E-3</v>
      </c>
      <c r="S53" s="6">
        <f t="shared" si="9"/>
        <v>9.9999999999999915E-3</v>
      </c>
      <c r="U53" s="6">
        <v>9.1011497208556946E-2</v>
      </c>
    </row>
    <row r="54" spans="1:21" x14ac:dyDescent="0.35">
      <c r="A54">
        <v>51</v>
      </c>
      <c r="B54">
        <v>105</v>
      </c>
      <c r="D54" s="4">
        <v>0</v>
      </c>
      <c r="E54" s="4">
        <v>0</v>
      </c>
      <c r="F54" s="4">
        <f t="shared" si="12"/>
        <v>225493.88577651372</v>
      </c>
      <c r="G54" s="4">
        <f t="shared" si="13"/>
        <v>4735371.6013067886</v>
      </c>
      <c r="H54">
        <f t="shared" si="14"/>
        <v>-66</v>
      </c>
      <c r="I54" s="4">
        <f t="shared" si="0"/>
        <v>0</v>
      </c>
      <c r="J54" s="4">
        <f t="shared" si="4"/>
        <v>632178.90598549042</v>
      </c>
      <c r="K54" s="4">
        <f t="shared" si="1"/>
        <v>5142056.6215157649</v>
      </c>
      <c r="L54" s="4">
        <f t="shared" si="5"/>
        <v>3160.8945299274496</v>
      </c>
      <c r="M54" s="4">
        <f t="shared" si="6"/>
        <v>37930.734359129427</v>
      </c>
      <c r="N54" s="4">
        <f t="shared" si="10"/>
        <v>0</v>
      </c>
      <c r="O54" s="4">
        <f t="shared" si="7"/>
        <v>270592.66293181648</v>
      </c>
      <c r="P54" s="4">
        <f t="shared" si="2"/>
        <v>5453740.9133366384</v>
      </c>
      <c r="Q54" s="4">
        <f t="shared" si="3"/>
        <v>718369.31202984974</v>
      </c>
      <c r="R54" s="8">
        <f t="shared" si="8"/>
        <v>1.0000000000000002E-2</v>
      </c>
      <c r="S54" s="6">
        <f t="shared" si="9"/>
        <v>1.0000000000000002E-2</v>
      </c>
      <c r="U54" s="6">
        <v>9.1507649207495767E-2</v>
      </c>
    </row>
    <row r="55" spans="1:21" x14ac:dyDescent="0.35">
      <c r="A55">
        <v>52</v>
      </c>
      <c r="B55">
        <v>106</v>
      </c>
      <c r="D55" s="4">
        <v>0</v>
      </c>
      <c r="E55" s="4">
        <v>0</v>
      </c>
      <c r="F55" s="4">
        <f t="shared" si="12"/>
        <v>236768.58006533945</v>
      </c>
      <c r="G55" s="4">
        <f t="shared" si="13"/>
        <v>4972140.1813721284</v>
      </c>
      <c r="H55">
        <f t="shared" si="14"/>
        <v>-66</v>
      </c>
      <c r="I55" s="4">
        <f t="shared" si="0"/>
        <v>0</v>
      </c>
      <c r="J55" s="4">
        <f t="shared" si="4"/>
        <v>718303.31202984974</v>
      </c>
      <c r="K55" s="4">
        <f t="shared" si="1"/>
        <v>5453674.9133366384</v>
      </c>
      <c r="L55" s="4">
        <f t="shared" si="5"/>
        <v>3591.5165601492472</v>
      </c>
      <c r="M55" s="4">
        <f t="shared" si="6"/>
        <v>43098.198721790985</v>
      </c>
      <c r="N55" s="4">
        <f t="shared" si="10"/>
        <v>0</v>
      </c>
      <c r="O55" s="4">
        <f t="shared" si="7"/>
        <v>284122.29607840732</v>
      </c>
      <c r="P55" s="4">
        <f t="shared" si="2"/>
        <v>5784486.9246969856</v>
      </c>
      <c r="Q55" s="4">
        <f t="shared" si="3"/>
        <v>812346.74332485721</v>
      </c>
      <c r="R55" s="8">
        <f t="shared" si="8"/>
        <v>9.9999999999999967E-3</v>
      </c>
      <c r="S55" s="6">
        <f t="shared" si="9"/>
        <v>9.9999999999999967E-3</v>
      </c>
      <c r="U55" s="6">
        <v>9.1968274831493391E-2</v>
      </c>
    </row>
    <row r="56" spans="1:21" x14ac:dyDescent="0.35">
      <c r="A56">
        <v>53</v>
      </c>
      <c r="B56">
        <v>107</v>
      </c>
      <c r="D56" s="4">
        <v>0</v>
      </c>
      <c r="E56" s="4">
        <v>0</v>
      </c>
      <c r="F56" s="4">
        <f t="shared" si="12"/>
        <v>248607.00906860642</v>
      </c>
      <c r="G56" s="4">
        <f t="shared" si="13"/>
        <v>5220747.1904407348</v>
      </c>
      <c r="H56">
        <f t="shared" si="14"/>
        <v>-66</v>
      </c>
      <c r="I56" s="4">
        <f t="shared" si="0"/>
        <v>0</v>
      </c>
      <c r="J56" s="4">
        <f t="shared" si="4"/>
        <v>812280.74332485721</v>
      </c>
      <c r="K56" s="4">
        <f t="shared" si="1"/>
        <v>5784420.9246969856</v>
      </c>
      <c r="L56" s="4">
        <f t="shared" si="5"/>
        <v>4061.4037166242861</v>
      </c>
      <c r="M56" s="4">
        <f t="shared" si="6"/>
        <v>48736.844599491429</v>
      </c>
      <c r="N56" s="4">
        <f t="shared" si="10"/>
        <v>0</v>
      </c>
      <c r="O56" s="4">
        <f t="shared" si="7"/>
        <v>298328.41088232771</v>
      </c>
      <c r="P56" s="4">
        <f t="shared" si="2"/>
        <v>6135547.583895429</v>
      </c>
      <c r="Q56" s="4">
        <f t="shared" si="3"/>
        <v>914800.39345469419</v>
      </c>
      <c r="R56" s="8">
        <f t="shared" si="8"/>
        <v>0.01</v>
      </c>
      <c r="S56" s="6">
        <f t="shared" si="9"/>
        <v>0.01</v>
      </c>
      <c r="U56" s="6">
        <v>9.2396219955486858E-2</v>
      </c>
    </row>
    <row r="57" spans="1:21" x14ac:dyDescent="0.35">
      <c r="A57">
        <v>54</v>
      </c>
      <c r="B57">
        <v>108</v>
      </c>
      <c r="D57" s="4">
        <v>0</v>
      </c>
      <c r="E57" s="4">
        <v>0</v>
      </c>
      <c r="F57" s="4">
        <f t="shared" si="12"/>
        <v>261037.35952203674</v>
      </c>
      <c r="G57" s="4">
        <f t="shared" si="13"/>
        <v>5481784.5499627721</v>
      </c>
      <c r="H57">
        <f t="shared" si="14"/>
        <v>-66</v>
      </c>
      <c r="I57" s="4">
        <f t="shared" si="0"/>
        <v>0</v>
      </c>
      <c r="J57" s="4">
        <f t="shared" si="4"/>
        <v>914734.39345469419</v>
      </c>
      <c r="K57" s="4">
        <f t="shared" si="1"/>
        <v>6135481.583895429</v>
      </c>
      <c r="L57" s="4">
        <f t="shared" si="5"/>
        <v>4573.6719672734689</v>
      </c>
      <c r="M57" s="4">
        <f t="shared" si="6"/>
        <v>54884.063607281649</v>
      </c>
      <c r="N57" s="4">
        <f t="shared" si="10"/>
        <v>0</v>
      </c>
      <c r="O57" s="4">
        <f t="shared" si="7"/>
        <v>313244.83142644406</v>
      </c>
      <c r="P57" s="4">
        <f t="shared" si="2"/>
        <v>6508184.1508964291</v>
      </c>
      <c r="Q57" s="4">
        <f t="shared" si="3"/>
        <v>1026399.600933657</v>
      </c>
      <c r="R57" s="8">
        <f t="shared" si="8"/>
        <v>9.9999999999999933E-3</v>
      </c>
      <c r="S57" s="6">
        <f t="shared" si="9"/>
        <v>9.9999999999999933E-3</v>
      </c>
      <c r="U57" s="6">
        <v>9.2794071216290241E-2</v>
      </c>
    </row>
    <row r="58" spans="1:21" x14ac:dyDescent="0.35">
      <c r="A58">
        <v>55</v>
      </c>
      <c r="B58">
        <v>109</v>
      </c>
      <c r="D58" s="4">
        <v>0</v>
      </c>
      <c r="E58" s="4">
        <v>0</v>
      </c>
      <c r="F58" s="4">
        <f t="shared" si="12"/>
        <v>274089.22749813861</v>
      </c>
      <c r="G58" s="4">
        <f t="shared" si="13"/>
        <v>5755873.7774609104</v>
      </c>
      <c r="H58">
        <f t="shared" si="14"/>
        <v>-66</v>
      </c>
      <c r="I58" s="4">
        <f t="shared" si="0"/>
        <v>0</v>
      </c>
      <c r="J58" s="4">
        <f t="shared" si="4"/>
        <v>1026333.600933657</v>
      </c>
      <c r="K58" s="4">
        <f t="shared" si="1"/>
        <v>6508118.1508964291</v>
      </c>
      <c r="L58" s="4">
        <f t="shared" si="5"/>
        <v>5131.6680046682868</v>
      </c>
      <c r="M58" s="4">
        <f t="shared" si="6"/>
        <v>61580.01605601942</v>
      </c>
      <c r="N58" s="4">
        <f t="shared" si="10"/>
        <v>0</v>
      </c>
      <c r="O58" s="4">
        <f t="shared" si="7"/>
        <v>328907.07299776631</v>
      </c>
      <c r="P58" s="4">
        <f t="shared" si="2"/>
        <v>6903736.9079548838</v>
      </c>
      <c r="Q58" s="4">
        <f t="shared" si="3"/>
        <v>1147863.1304939734</v>
      </c>
      <c r="R58" s="8">
        <f t="shared" si="8"/>
        <v>9.9999999999999967E-3</v>
      </c>
      <c r="S58" s="6">
        <f t="shared" si="9"/>
        <v>9.9999999999999967E-3</v>
      </c>
      <c r="U58" s="6">
        <v>9.3164182339302126E-2</v>
      </c>
    </row>
    <row r="59" spans="1:21" x14ac:dyDescent="0.35">
      <c r="A59">
        <v>56</v>
      </c>
      <c r="B59">
        <v>110</v>
      </c>
      <c r="D59" s="4">
        <v>0</v>
      </c>
      <c r="E59" s="4">
        <v>0</v>
      </c>
      <c r="F59" s="4">
        <f t="shared" si="12"/>
        <v>287793.68887304555</v>
      </c>
      <c r="G59" s="4">
        <f t="shared" si="13"/>
        <v>6043667.4663339555</v>
      </c>
      <c r="H59">
        <f t="shared" si="14"/>
        <v>-66</v>
      </c>
      <c r="I59" s="4">
        <f t="shared" si="0"/>
        <v>0</v>
      </c>
      <c r="J59" s="4">
        <f t="shared" si="4"/>
        <v>1147797.1304939734</v>
      </c>
      <c r="K59" s="4">
        <f t="shared" si="1"/>
        <v>6903670.9079548838</v>
      </c>
      <c r="L59" s="4">
        <f t="shared" si="5"/>
        <v>5738.9856524698689</v>
      </c>
      <c r="M59" s="4">
        <f t="shared" si="6"/>
        <v>68867.827829638394</v>
      </c>
      <c r="N59" s="4">
        <f t="shared" si="10"/>
        <v>0</v>
      </c>
      <c r="O59" s="4">
        <f t="shared" si="7"/>
        <v>345352.42664765462</v>
      </c>
      <c r="P59" s="4">
        <f t="shared" si="2"/>
        <v>7323630.148084647</v>
      </c>
      <c r="Q59" s="4">
        <f t="shared" si="3"/>
        <v>1279962.6817506915</v>
      </c>
      <c r="R59" s="8">
        <f t="shared" si="8"/>
        <v>9.9999999999999933E-3</v>
      </c>
      <c r="S59" s="6">
        <f t="shared" si="9"/>
        <v>9.9999999999999933E-3</v>
      </c>
      <c r="U59" s="6">
        <v>9.3508697604422375E-2</v>
      </c>
    </row>
    <row r="60" spans="1:21" x14ac:dyDescent="0.35">
      <c r="A60">
        <v>57</v>
      </c>
      <c r="B60">
        <v>111</v>
      </c>
      <c r="D60" s="4">
        <v>0</v>
      </c>
      <c r="E60" s="4">
        <v>0</v>
      </c>
      <c r="F60" s="4">
        <f t="shared" si="12"/>
        <v>302183.37331669778</v>
      </c>
      <c r="G60" s="4">
        <f t="shared" si="13"/>
        <v>6345850.8396506533</v>
      </c>
      <c r="H60">
        <f t="shared" si="14"/>
        <v>-66</v>
      </c>
      <c r="I60" s="4">
        <f t="shared" si="0"/>
        <v>0</v>
      </c>
      <c r="J60" s="4">
        <f t="shared" si="4"/>
        <v>1279896.6817506915</v>
      </c>
      <c r="K60" s="4">
        <f t="shared" si="1"/>
        <v>7323564.148084647</v>
      </c>
      <c r="L60" s="4">
        <f t="shared" si="5"/>
        <v>6399.4834087534573</v>
      </c>
      <c r="M60" s="4">
        <f t="shared" si="6"/>
        <v>76793.800905041484</v>
      </c>
      <c r="N60" s="4">
        <f t="shared" si="10"/>
        <v>0</v>
      </c>
      <c r="O60" s="4">
        <f t="shared" si="7"/>
        <v>362620.04798003734</v>
      </c>
      <c r="P60" s="4">
        <f t="shared" si="2"/>
        <v>7769377.4803784797</v>
      </c>
      <c r="Q60" s="4">
        <f t="shared" si="3"/>
        <v>1423526.6407278264</v>
      </c>
      <c r="R60" s="8">
        <f t="shared" si="8"/>
        <v>1.0000000000000002E-2</v>
      </c>
      <c r="S60" s="6">
        <f t="shared" si="9"/>
        <v>1.0000000000000002E-2</v>
      </c>
      <c r="U60" s="6">
        <v>9.3829572763913349E-2</v>
      </c>
    </row>
    <row r="61" spans="1:21" x14ac:dyDescent="0.35">
      <c r="A61">
        <v>58</v>
      </c>
      <c r="B61">
        <v>112</v>
      </c>
      <c r="D61" s="4">
        <v>0</v>
      </c>
      <c r="E61" s="4">
        <v>0</v>
      </c>
      <c r="F61" s="4">
        <f t="shared" si="12"/>
        <v>317292.54198253271</v>
      </c>
      <c r="G61" s="4">
        <f t="shared" si="13"/>
        <v>6663143.3816331858</v>
      </c>
      <c r="H61">
        <f t="shared" si="14"/>
        <v>-66</v>
      </c>
      <c r="I61" s="4">
        <f t="shared" si="0"/>
        <v>0</v>
      </c>
      <c r="J61" s="4">
        <f t="shared" si="4"/>
        <v>1423460.6407278264</v>
      </c>
      <c r="K61" s="4">
        <f t="shared" si="1"/>
        <v>7769311.4803784797</v>
      </c>
      <c r="L61" s="4">
        <f t="shared" si="5"/>
        <v>7117.3032036391332</v>
      </c>
      <c r="M61" s="4">
        <f t="shared" si="6"/>
        <v>85407.638443669581</v>
      </c>
      <c r="N61" s="4">
        <f t="shared" si="10"/>
        <v>0</v>
      </c>
      <c r="O61" s="4">
        <f t="shared" si="7"/>
        <v>380751.0503790392</v>
      </c>
      <c r="P61" s="4">
        <f t="shared" si="2"/>
        <v>8242587.4724048274</v>
      </c>
      <c r="Q61" s="4">
        <f t="shared" si="3"/>
        <v>1579444.0907716416</v>
      </c>
      <c r="R61" s="8">
        <f t="shared" si="8"/>
        <v>9.9999999999999915E-3</v>
      </c>
      <c r="S61" s="6">
        <f t="shared" si="9"/>
        <v>9.9999999999999915E-3</v>
      </c>
      <c r="U61" s="6">
        <v>9.4128593692867746E-2</v>
      </c>
    </row>
    <row r="62" spans="1:21" x14ac:dyDescent="0.35">
      <c r="A62">
        <v>59</v>
      </c>
      <c r="B62">
        <v>113</v>
      </c>
      <c r="D62" s="4">
        <v>0</v>
      </c>
      <c r="E62" s="4">
        <v>0</v>
      </c>
      <c r="F62" s="4">
        <f t="shared" si="12"/>
        <v>333157.16908165929</v>
      </c>
      <c r="G62" s="4">
        <f t="shared" si="13"/>
        <v>6996300.5507148448</v>
      </c>
      <c r="H62">
        <f t="shared" si="14"/>
        <v>-66</v>
      </c>
      <c r="I62" s="4">
        <f t="shared" si="0"/>
        <v>0</v>
      </c>
      <c r="J62" s="4">
        <f t="shared" si="4"/>
        <v>1579378.0907716416</v>
      </c>
      <c r="K62" s="4">
        <f t="shared" si="1"/>
        <v>8242521.4724048274</v>
      </c>
      <c r="L62" s="4">
        <f t="shared" si="5"/>
        <v>7896.8904538582092</v>
      </c>
      <c r="M62" s="4">
        <f t="shared" si="6"/>
        <v>94762.685446298492</v>
      </c>
      <c r="N62" s="4">
        <f t="shared" si="10"/>
        <v>0</v>
      </c>
      <c r="O62" s="4">
        <f t="shared" si="7"/>
        <v>399788.60289799114</v>
      </c>
      <c r="P62" s="4">
        <f t="shared" si="2"/>
        <v>8744969.6512029748</v>
      </c>
      <c r="Q62" s="4">
        <f t="shared" si="3"/>
        <v>1748669.10048813</v>
      </c>
      <c r="R62" s="8">
        <f t="shared" si="8"/>
        <v>9.9999999999999985E-3</v>
      </c>
      <c r="S62" s="6">
        <f t="shared" si="9"/>
        <v>9.9999999999999985E-3</v>
      </c>
      <c r="U62" s="6">
        <v>9.4407393024548369E-2</v>
      </c>
    </row>
    <row r="63" spans="1:21" x14ac:dyDescent="0.35">
      <c r="A63">
        <v>60</v>
      </c>
      <c r="B63">
        <v>114</v>
      </c>
      <c r="D63" s="4">
        <v>0</v>
      </c>
      <c r="E63" s="4">
        <v>0</v>
      </c>
      <c r="F63" s="4">
        <f t="shared" si="12"/>
        <v>349815.02753574227</v>
      </c>
      <c r="G63" s="4">
        <f t="shared" si="13"/>
        <v>7346115.578250587</v>
      </c>
      <c r="H63">
        <f t="shared" si="14"/>
        <v>-66</v>
      </c>
      <c r="I63" s="4">
        <f t="shared" si="0"/>
        <v>0</v>
      </c>
      <c r="J63" s="4">
        <f t="shared" si="4"/>
        <v>1748603.10048813</v>
      </c>
      <c r="K63" s="4">
        <f t="shared" si="1"/>
        <v>8744903.6512029748</v>
      </c>
      <c r="L63" s="4">
        <f t="shared" si="5"/>
        <v>8743.0155024406504</v>
      </c>
      <c r="M63" s="4">
        <f t="shared" si="6"/>
        <v>104916.1860292878</v>
      </c>
      <c r="N63" s="4">
        <f t="shared" si="10"/>
        <v>0</v>
      </c>
      <c r="O63" s="4">
        <f t="shared" si="7"/>
        <v>419778.03304289066</v>
      </c>
      <c r="P63" s="4">
        <f t="shared" si="2"/>
        <v>9278340.8857775927</v>
      </c>
      <c r="Q63" s="4">
        <f t="shared" si="3"/>
        <v>1932225.3075270057</v>
      </c>
      <c r="R63" s="8">
        <f t="shared" si="8"/>
        <v>9.9999999999999915E-3</v>
      </c>
      <c r="S63" s="6">
        <f t="shared" si="9"/>
        <v>9.9999999999999915E-3</v>
      </c>
      <c r="U63" s="6">
        <v>9.4667465000038531E-2</v>
      </c>
    </row>
    <row r="64" spans="1:21" x14ac:dyDescent="0.35">
      <c r="A64">
        <v>61</v>
      </c>
      <c r="B64">
        <v>115</v>
      </c>
      <c r="D64" s="4">
        <v>0</v>
      </c>
      <c r="E64" s="4">
        <v>0</v>
      </c>
      <c r="F64" s="4">
        <f t="shared" si="12"/>
        <v>367305.77891252935</v>
      </c>
      <c r="G64" s="4">
        <f t="shared" si="13"/>
        <v>7713421.3571631163</v>
      </c>
      <c r="H64">
        <f t="shared" si="14"/>
        <v>-66</v>
      </c>
      <c r="I64" s="4">
        <f t="shared" si="0"/>
        <v>0</v>
      </c>
      <c r="J64" s="4">
        <f t="shared" si="4"/>
        <v>1932159.3075270057</v>
      </c>
      <c r="K64" s="4">
        <f t="shared" si="1"/>
        <v>9278274.8857775927</v>
      </c>
      <c r="L64" s="4">
        <f t="shared" si="5"/>
        <v>9660.7965376350294</v>
      </c>
      <c r="M64" s="4">
        <f t="shared" si="6"/>
        <v>115929.55845162034</v>
      </c>
      <c r="N64" s="4">
        <f t="shared" si="10"/>
        <v>0</v>
      </c>
      <c r="O64" s="4">
        <f t="shared" si="7"/>
        <v>440766.93469503522</v>
      </c>
      <c r="P64" s="4">
        <f t="shared" si="2"/>
        <v>9844632.1754618846</v>
      </c>
      <c r="Q64" s="4">
        <f t="shared" si="3"/>
        <v>2131210.8182987683</v>
      </c>
      <c r="R64" s="8">
        <f t="shared" si="8"/>
        <v>0.01</v>
      </c>
      <c r="S64" s="6">
        <f t="shared" si="9"/>
        <v>0.01</v>
      </c>
      <c r="U64" s="6">
        <v>9.4910178732857897E-2</v>
      </c>
    </row>
    <row r="65" spans="1:89" x14ac:dyDescent="0.35">
      <c r="A65">
        <v>62</v>
      </c>
      <c r="B65">
        <v>116</v>
      </c>
      <c r="D65" s="4">
        <v>0</v>
      </c>
      <c r="E65" s="4">
        <v>0</v>
      </c>
      <c r="F65" s="4">
        <f t="shared" si="12"/>
        <v>385671.06785815582</v>
      </c>
      <c r="G65" s="4">
        <f t="shared" si="13"/>
        <v>8099092.4250212722</v>
      </c>
      <c r="H65">
        <f t="shared" si="14"/>
        <v>-66</v>
      </c>
      <c r="I65" s="4">
        <f t="shared" si="0"/>
        <v>0</v>
      </c>
      <c r="J65" s="4">
        <f t="shared" si="4"/>
        <v>2131144.8182987683</v>
      </c>
      <c r="K65" s="4">
        <f t="shared" si="1"/>
        <v>9844566.1754618846</v>
      </c>
      <c r="L65" s="4">
        <f t="shared" si="5"/>
        <v>10655.724091493841</v>
      </c>
      <c r="M65" s="4">
        <f t="shared" si="6"/>
        <v>127868.68909792609</v>
      </c>
      <c r="N65" s="4">
        <f t="shared" si="10"/>
        <v>0</v>
      </c>
      <c r="O65" s="4">
        <f t="shared" si="7"/>
        <v>462805.28142978699</v>
      </c>
      <c r="P65" s="4">
        <f t="shared" si="2"/>
        <v>10445895.870081091</v>
      </c>
      <c r="Q65" s="4">
        <f t="shared" si="3"/>
        <v>2346803.4450598191</v>
      </c>
      <c r="R65" s="8">
        <f t="shared" si="8"/>
        <v>1.0000000000000002E-2</v>
      </c>
      <c r="S65" s="6">
        <f t="shared" si="9"/>
        <v>1.0000000000000002E-2</v>
      </c>
      <c r="U65" s="6">
        <v>9.5136790068937049E-2</v>
      </c>
    </row>
    <row r="66" spans="1:89" x14ac:dyDescent="0.35">
      <c r="A66">
        <v>63</v>
      </c>
      <c r="B66">
        <v>117</v>
      </c>
      <c r="D66" s="4">
        <v>0</v>
      </c>
      <c r="E66" s="4">
        <v>0</v>
      </c>
      <c r="F66" s="4">
        <f t="shared" si="12"/>
        <v>404954.62125106365</v>
      </c>
      <c r="G66" s="4">
        <f t="shared" si="13"/>
        <v>8504047.0462723356</v>
      </c>
      <c r="H66">
        <f t="shared" si="14"/>
        <v>-66</v>
      </c>
      <c r="I66" s="4">
        <f t="shared" si="0"/>
        <v>0</v>
      </c>
      <c r="J66" s="4">
        <f t="shared" si="4"/>
        <v>2346737.4450598191</v>
      </c>
      <c r="K66" s="4">
        <f t="shared" si="1"/>
        <v>10445829.870081091</v>
      </c>
      <c r="L66" s="4">
        <f t="shared" si="5"/>
        <v>11733.687225299096</v>
      </c>
      <c r="M66" s="4">
        <f t="shared" si="6"/>
        <v>140804.24670358913</v>
      </c>
      <c r="N66" s="4">
        <f t="shared" si="10"/>
        <v>0</v>
      </c>
      <c r="O66" s="4">
        <f t="shared" si="7"/>
        <v>485945.54550127633</v>
      </c>
      <c r="P66" s="4">
        <f t="shared" si="2"/>
        <v>11084313.349511256</v>
      </c>
      <c r="Q66" s="4">
        <f t="shared" si="3"/>
        <v>2580266.3032389209</v>
      </c>
      <c r="R66" s="8">
        <f t="shared" si="8"/>
        <v>9.9999999999999933E-3</v>
      </c>
      <c r="S66" s="6">
        <f t="shared" si="9"/>
        <v>9.9999999999999933E-3</v>
      </c>
      <c r="U66" s="6">
        <v>9.5348452200927802E-2</v>
      </c>
    </row>
    <row r="67" spans="1:89" x14ac:dyDescent="0.35">
      <c r="A67">
        <v>64</v>
      </c>
      <c r="B67">
        <v>118</v>
      </c>
      <c r="D67" s="4">
        <v>0</v>
      </c>
      <c r="E67" s="4">
        <v>0</v>
      </c>
      <c r="F67" s="4">
        <f t="shared" si="12"/>
        <v>425202.35231361678</v>
      </c>
      <c r="G67" s="4">
        <f t="shared" si="13"/>
        <v>8929249.3985859528</v>
      </c>
      <c r="H67">
        <f t="shared" si="14"/>
        <v>-66</v>
      </c>
      <c r="I67" s="4">
        <f t="shared" si="0"/>
        <v>0</v>
      </c>
      <c r="J67" s="4">
        <f t="shared" si="4"/>
        <v>2580200.3032389209</v>
      </c>
      <c r="K67" s="4">
        <f t="shared" si="1"/>
        <v>11084247.349511256</v>
      </c>
      <c r="L67" s="4">
        <f t="shared" si="5"/>
        <v>12901.001516194603</v>
      </c>
      <c r="M67" s="4">
        <f t="shared" si="6"/>
        <v>154812.01819433525</v>
      </c>
      <c r="N67" s="4">
        <f t="shared" si="10"/>
        <v>0</v>
      </c>
      <c r="O67" s="4">
        <f t="shared" si="7"/>
        <v>510242.82277634012</v>
      </c>
      <c r="P67" s="4">
        <f t="shared" si="2"/>
        <v>11762203.191998126</v>
      </c>
      <c r="Q67" s="4">
        <f t="shared" si="3"/>
        <v>2832953.7934121732</v>
      </c>
      <c r="R67" s="8">
        <f t="shared" si="8"/>
        <v>9.9999999999999985E-3</v>
      </c>
      <c r="S67" s="6">
        <f t="shared" si="9"/>
        <v>9.9999999999999985E-3</v>
      </c>
      <c r="U67" s="6">
        <v>9.5546225177839172E-2</v>
      </c>
    </row>
    <row r="68" spans="1:89" x14ac:dyDescent="0.35">
      <c r="A68">
        <v>65</v>
      </c>
      <c r="B68">
        <v>119</v>
      </c>
      <c r="D68" s="4">
        <v>0</v>
      </c>
      <c r="E68" s="4">
        <v>0</v>
      </c>
      <c r="F68" s="4">
        <f t="shared" si="12"/>
        <v>446462.46992929769</v>
      </c>
      <c r="G68" s="4">
        <f t="shared" si="13"/>
        <v>9375711.8685152512</v>
      </c>
      <c r="H68">
        <f t="shared" si="14"/>
        <v>-66</v>
      </c>
      <c r="I68" s="4">
        <f t="shared" si="0"/>
        <v>0</v>
      </c>
      <c r="J68" s="4">
        <f t="shared" si="4"/>
        <v>2832887.7934121732</v>
      </c>
      <c r="K68" s="4">
        <f t="shared" si="1"/>
        <v>11762137.191998126</v>
      </c>
      <c r="L68" s="4">
        <f t="shared" si="5"/>
        <v>14164.438967060862</v>
      </c>
      <c r="M68" s="4">
        <f t="shared" si="6"/>
        <v>169973.26760473038</v>
      </c>
      <c r="N68" s="4">
        <f t="shared" si="10"/>
        <v>0</v>
      </c>
      <c r="O68" s="4">
        <f t="shared" si="7"/>
        <v>535754.96391515713</v>
      </c>
      <c r="P68" s="4">
        <f t="shared" si="2"/>
        <v>12482029.862485074</v>
      </c>
      <c r="Q68" s="4">
        <f t="shared" si="3"/>
        <v>3106317.9939698223</v>
      </c>
      <c r="R68" s="8">
        <f t="shared" si="8"/>
        <v>9.9999999999999898E-3</v>
      </c>
      <c r="S68" s="6">
        <f t="shared" si="9"/>
        <v>9.9999999999999898E-3</v>
      </c>
      <c r="U68" s="6">
        <v>9.5731084433553715E-2</v>
      </c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</row>
    <row r="69" spans="1:89" x14ac:dyDescent="0.35">
      <c r="A69">
        <v>66</v>
      </c>
      <c r="B69">
        <v>120</v>
      </c>
      <c r="D69" s="4">
        <v>0</v>
      </c>
      <c r="E69" s="4">
        <v>0</v>
      </c>
      <c r="F69" s="4">
        <f t="shared" si="12"/>
        <v>468785.59342576261</v>
      </c>
      <c r="G69" s="4">
        <f t="shared" si="13"/>
        <v>9844497.4619410131</v>
      </c>
      <c r="H69">
        <f t="shared" si="14"/>
        <v>-66</v>
      </c>
      <c r="I69" s="4">
        <f t="shared" ref="I69" si="15">-(D69+P68)*$I$2</f>
        <v>0</v>
      </c>
      <c r="J69" s="4">
        <f t="shared" si="4"/>
        <v>3106251.9939698223</v>
      </c>
      <c r="K69" s="4">
        <f t="shared" ref="K69" si="16">D69+H69+I69+P68</f>
        <v>12481963.862485074</v>
      </c>
      <c r="L69" s="4">
        <f t="shared" si="5"/>
        <v>15531.259969849116</v>
      </c>
      <c r="M69" s="4">
        <f t="shared" si="6"/>
        <v>186375.11963818932</v>
      </c>
      <c r="N69" s="4">
        <f t="shared" si="10"/>
        <v>0</v>
      </c>
      <c r="O69" s="4">
        <f t="shared" si="7"/>
        <v>562542.7121109151</v>
      </c>
      <c r="P69" s="4">
        <f t="shared" ref="P69" si="17">K69+L69+M69+O69+N69</f>
        <v>13246412.954204027</v>
      </c>
      <c r="Q69" s="4">
        <f t="shared" ref="Q69" si="18">P69-G69</f>
        <v>3401915.4922630135</v>
      </c>
      <c r="R69" s="8">
        <f t="shared" si="8"/>
        <v>9.9999999999999985E-3</v>
      </c>
      <c r="S69" s="6">
        <f t="shared" si="9"/>
        <v>9.9999999999999985E-3</v>
      </c>
      <c r="U69" s="6">
        <v>9.5903928444887265E-2</v>
      </c>
      <c r="V69" s="10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9"/>
      <c r="BO69" s="9"/>
      <c r="BP69" s="9"/>
      <c r="BQ69" s="9"/>
      <c r="BR69" s="9"/>
      <c r="BS69" s="9"/>
      <c r="BT69" s="9"/>
      <c r="BU69" s="9"/>
      <c r="BV69" s="9"/>
      <c r="BW69" s="9"/>
      <c r="BX69" s="9"/>
      <c r="BY69" s="9"/>
      <c r="BZ69" s="9"/>
      <c r="CA69" s="9"/>
      <c r="CB69" s="9"/>
      <c r="CC69" s="9"/>
      <c r="CD69" s="9"/>
      <c r="CE69" s="9"/>
      <c r="CF69" s="9"/>
      <c r="CG69" s="9"/>
      <c r="CH69" s="9"/>
      <c r="CI69" s="9"/>
      <c r="CJ69" s="9"/>
      <c r="CK69" s="9"/>
    </row>
    <row r="70" spans="1:89" x14ac:dyDescent="0.35">
      <c r="U70" s="6">
        <v>-1</v>
      </c>
    </row>
    <row r="71" spans="1:89" x14ac:dyDescent="0.35">
      <c r="J71" s="4">
        <f>IF(MIN(J4:J69)&lt;0,1,0)</f>
        <v>0</v>
      </c>
      <c r="Q71" s="4">
        <f>IF(MIN(Q4:Q69)&lt;0,1,0)</f>
        <v>0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AD39D8-AA6E-4C01-86B3-871C5A8DC001}">
  <dimension ref="A1:CK71"/>
  <sheetViews>
    <sheetView zoomScale="60" zoomScaleNormal="60" workbookViewId="0">
      <selection activeCell="L3" sqref="L3"/>
    </sheetView>
  </sheetViews>
  <sheetFormatPr defaultRowHeight="14.5" x14ac:dyDescent="0.35"/>
  <cols>
    <col min="3" max="3" width="3.26953125" customWidth="1"/>
    <col min="4" max="4" width="15.7265625" bestFit="1" customWidth="1"/>
    <col min="5" max="5" width="19.81640625" bestFit="1" customWidth="1"/>
    <col min="6" max="6" width="17.54296875" bestFit="1" customWidth="1"/>
    <col min="7" max="7" width="17.7265625" bestFit="1" customWidth="1"/>
    <col min="8" max="8" width="16" bestFit="1" customWidth="1"/>
    <col min="9" max="9" width="21.26953125" bestFit="1" customWidth="1"/>
    <col min="10" max="10" width="21.26953125" customWidth="1"/>
    <col min="11" max="11" width="51.54296875" customWidth="1"/>
    <col min="12" max="12" width="29.1796875" bestFit="1" customWidth="1"/>
    <col min="13" max="13" width="24.81640625" bestFit="1" customWidth="1"/>
    <col min="14" max="14" width="37.54296875" bestFit="1" customWidth="1"/>
    <col min="15" max="15" width="27.81640625" bestFit="1" customWidth="1"/>
    <col min="16" max="16" width="15.26953125" bestFit="1" customWidth="1"/>
    <col min="17" max="17" width="15.26953125" customWidth="1"/>
    <col min="18" max="18" width="26.26953125" customWidth="1"/>
    <col min="19" max="19" width="44.7265625" bestFit="1" customWidth="1"/>
    <col min="23" max="23" width="19.1796875" bestFit="1" customWidth="1"/>
    <col min="24" max="24" width="14.7265625" bestFit="1" customWidth="1"/>
    <col min="89" max="89" width="10.7265625" bestFit="1" customWidth="1"/>
  </cols>
  <sheetData>
    <row r="1" spans="1:23" x14ac:dyDescent="0.35">
      <c r="F1" t="s">
        <v>0</v>
      </c>
      <c r="I1" t="s">
        <v>1</v>
      </c>
      <c r="L1" t="s">
        <v>40</v>
      </c>
      <c r="M1" t="s">
        <v>2</v>
      </c>
      <c r="N1" t="s">
        <v>42</v>
      </c>
      <c r="O1" s="1" t="s">
        <v>29</v>
      </c>
      <c r="S1" t="s">
        <v>5</v>
      </c>
    </row>
    <row r="2" spans="1:23" x14ac:dyDescent="0.35">
      <c r="F2" s="2">
        <v>0.05</v>
      </c>
      <c r="I2" s="3">
        <v>0</v>
      </c>
      <c r="J2" s="3"/>
      <c r="L2" s="11">
        <v>5.0000000000000001E-3</v>
      </c>
      <c r="M2" s="3">
        <v>0.06</v>
      </c>
      <c r="N2" s="2" t="s">
        <v>41</v>
      </c>
      <c r="O2" s="1">
        <v>0</v>
      </c>
      <c r="P2" t="s">
        <v>6</v>
      </c>
      <c r="Q2">
        <v>1</v>
      </c>
      <c r="S2" t="s">
        <v>7</v>
      </c>
      <c r="U2" t="s">
        <v>8</v>
      </c>
    </row>
    <row r="3" spans="1:23" x14ac:dyDescent="0.35">
      <c r="A3" t="s">
        <v>9</v>
      </c>
      <c r="B3" t="s">
        <v>10</v>
      </c>
      <c r="D3" t="s">
        <v>11</v>
      </c>
      <c r="E3" t="s">
        <v>12</v>
      </c>
      <c r="F3" t="s">
        <v>13</v>
      </c>
      <c r="G3" t="s">
        <v>14</v>
      </c>
      <c r="H3" t="s">
        <v>15</v>
      </c>
      <c r="I3" t="s">
        <v>16</v>
      </c>
      <c r="J3" t="s">
        <v>17</v>
      </c>
      <c r="K3" t="s">
        <v>18</v>
      </c>
      <c r="L3" t="s">
        <v>19</v>
      </c>
      <c r="M3" t="s">
        <v>20</v>
      </c>
      <c r="N3" t="s">
        <v>21</v>
      </c>
      <c r="O3" t="s">
        <v>22</v>
      </c>
      <c r="P3" t="s">
        <v>23</v>
      </c>
      <c r="Q3" t="s">
        <v>24</v>
      </c>
      <c r="R3" t="s">
        <v>25</v>
      </c>
      <c r="S3" t="s">
        <v>26</v>
      </c>
      <c r="U3" t="s">
        <v>27</v>
      </c>
    </row>
    <row r="4" spans="1:23" x14ac:dyDescent="0.35">
      <c r="A4">
        <v>1</v>
      </c>
      <c r="B4">
        <v>55</v>
      </c>
      <c r="D4" s="4">
        <v>35000</v>
      </c>
      <c r="E4" s="4">
        <v>0</v>
      </c>
      <c r="F4" s="4">
        <v>0</v>
      </c>
      <c r="G4" s="4">
        <v>0</v>
      </c>
      <c r="H4">
        <f>-6365*(1.1)</f>
        <v>-7001.5000000000009</v>
      </c>
      <c r="I4" s="4">
        <f>-D4*$I$2</f>
        <v>0</v>
      </c>
      <c r="J4" s="4">
        <f>D4+H4</f>
        <v>27998.5</v>
      </c>
      <c r="K4" s="4">
        <f>D4+H4+I4</f>
        <v>27998.5</v>
      </c>
      <c r="L4" s="4">
        <f>(K4-G4)*IF(A4&lt;$Q$2,0,IF($O$2=1,$M$2,1)*$L$2)</f>
        <v>139.99250000000001</v>
      </c>
      <c r="M4" s="4">
        <f>MAX(0,(K4-G4))*$M$2</f>
        <v>1679.9099999999999</v>
      </c>
      <c r="N4" s="4"/>
      <c r="O4" s="4"/>
      <c r="P4" s="4">
        <f>K4+L4+M4+O4+N4</f>
        <v>29818.4025</v>
      </c>
      <c r="Q4" s="4">
        <f>P4-G4</f>
        <v>29818.4025</v>
      </c>
      <c r="R4" s="4"/>
      <c r="S4" s="6"/>
      <c r="U4">
        <v>-0.14804564285714283</v>
      </c>
    </row>
    <row r="5" spans="1:23" x14ac:dyDescent="0.35">
      <c r="A5">
        <v>2</v>
      </c>
      <c r="B5">
        <v>56</v>
      </c>
      <c r="D5" s="4">
        <v>35000</v>
      </c>
      <c r="E5" s="4">
        <v>0</v>
      </c>
      <c r="F5" s="4">
        <v>0</v>
      </c>
      <c r="G5" s="4">
        <v>0</v>
      </c>
      <c r="H5">
        <f>-6515*(1.1)</f>
        <v>-7166.5000000000009</v>
      </c>
      <c r="I5" s="4">
        <f t="shared" ref="I5:I68" si="0">-(D5+P4)*$I$2</f>
        <v>0</v>
      </c>
      <c r="J5" s="4">
        <f>D5-E5-G4+H5+I5+P4</f>
        <v>57651.902499999997</v>
      </c>
      <c r="K5" s="4">
        <f t="shared" ref="K5:K68" si="1">D5+H5+I5+P4</f>
        <v>57651.902499999997</v>
      </c>
      <c r="L5" s="4">
        <f>(K5-G5+F5)*IF(A5&lt;$Q$2,0,IF($O$2=1,$M$2,1)*$L$2)</f>
        <v>288.25951249999997</v>
      </c>
      <c r="M5" s="4">
        <f>MAX((K5-G4-E5),0)*$M$2</f>
        <v>3459.1141499999999</v>
      </c>
      <c r="N5" s="4">
        <f>IF($O$1="Yes",0,(G4+E5)*IF(A5&lt;$Q$2,0,IF($O$2=1,$M$2,1)*$L$2))</f>
        <v>0</v>
      </c>
      <c r="O5" s="4">
        <f>(G4+E5)*MIN($M$2,$F$2+0.005)</f>
        <v>0</v>
      </c>
      <c r="P5" s="4">
        <f t="shared" ref="P5:P68" si="2">K5+L5+M5+O5+N5</f>
        <v>61399.276162499998</v>
      </c>
      <c r="Q5" s="4">
        <f t="shared" ref="Q5:Q68" si="3">P5-G5</f>
        <v>61399.276162499998</v>
      </c>
      <c r="R5" s="7" t="e">
        <f>(O5-F5)/(G4+E5)</f>
        <v>#DIV/0!</v>
      </c>
      <c r="S5" s="6" t="e">
        <f>(N5+O5-F5)/(G4+E5)</f>
        <v>#DIV/0!</v>
      </c>
      <c r="U5">
        <v>-8.427932335307875E-2</v>
      </c>
      <c r="W5">
        <f>1.1</f>
        <v>1.1000000000000001</v>
      </c>
    </row>
    <row r="6" spans="1:23" x14ac:dyDescent="0.35">
      <c r="A6">
        <v>3</v>
      </c>
      <c r="B6">
        <v>57</v>
      </c>
      <c r="D6" s="4">
        <v>35000</v>
      </c>
      <c r="E6" s="4">
        <v>0</v>
      </c>
      <c r="F6" s="4">
        <v>0</v>
      </c>
      <c r="G6" s="4">
        <v>0</v>
      </c>
      <c r="H6">
        <f>-6684*(1.1)</f>
        <v>-7352.4000000000005</v>
      </c>
      <c r="I6" s="4">
        <f t="shared" si="0"/>
        <v>0</v>
      </c>
      <c r="J6" s="4">
        <f t="shared" ref="J6:J69" si="4">D6-E6-G5+H6+I6+P5</f>
        <v>89046.876162500004</v>
      </c>
      <c r="K6" s="4">
        <f t="shared" si="1"/>
        <v>89046.876162500004</v>
      </c>
      <c r="L6" s="4">
        <f t="shared" ref="L6:L69" si="5">(K6-G6+F6)*IF(A6&lt;$Q$2,0,IF($O$2=1,$M$2,1)*$L$2)</f>
        <v>445.23438081250004</v>
      </c>
      <c r="M6" s="4">
        <f t="shared" ref="M6:M69" si="6">MAX((K6-G5-E6),0)*$M$2</f>
        <v>5342.81256975</v>
      </c>
      <c r="N6" s="4">
        <f>IF($O$1="Yes",0,(G5+E6)*IF(A6&lt;$Q$2,0,IF($O$2=1,$M$2,1)*$L$2))</f>
        <v>0</v>
      </c>
      <c r="O6" s="4">
        <f t="shared" ref="O6:O69" si="7">(G5+E6)*MIN($M$2,$F$2+0.005)</f>
        <v>0</v>
      </c>
      <c r="P6" s="4">
        <f t="shared" si="2"/>
        <v>94834.923113062512</v>
      </c>
      <c r="Q6" s="4">
        <f t="shared" si="3"/>
        <v>94834.923113062512</v>
      </c>
      <c r="R6" s="7" t="e">
        <f t="shared" ref="R6:R69" si="8">(O6-F6)/(G5+E6)</f>
        <v>#DIV/0!</v>
      </c>
      <c r="S6" s="6" t="e">
        <f t="shared" ref="S6:S69" si="9">(N6+O6-F6)/(G5+E6)</f>
        <v>#DIV/0!</v>
      </c>
      <c r="U6" s="6">
        <v>-5.005453054294251E-2</v>
      </c>
    </row>
    <row r="7" spans="1:23" x14ac:dyDescent="0.35">
      <c r="A7">
        <v>4</v>
      </c>
      <c r="B7">
        <v>58</v>
      </c>
      <c r="D7" s="4">
        <v>35000</v>
      </c>
      <c r="E7" s="4">
        <v>0</v>
      </c>
      <c r="F7" s="4">
        <v>0</v>
      </c>
      <c r="G7" s="4">
        <v>0</v>
      </c>
      <c r="H7">
        <f>-6870*(1.1)</f>
        <v>-7557.0000000000009</v>
      </c>
      <c r="I7" s="4">
        <f t="shared" si="0"/>
        <v>0</v>
      </c>
      <c r="J7" s="4">
        <f t="shared" si="4"/>
        <v>122277.92311306251</v>
      </c>
      <c r="K7" s="4">
        <f t="shared" si="1"/>
        <v>122277.92311306251</v>
      </c>
      <c r="L7" s="4">
        <f t="shared" si="5"/>
        <v>611.38961556531262</v>
      </c>
      <c r="M7" s="4">
        <f t="shared" si="6"/>
        <v>7336.6753867837506</v>
      </c>
      <c r="N7" s="4">
        <f t="shared" ref="N7:N69" si="10">IF($O$1="Yes",0,(G6+E7)*IF(A7&lt;$Q$2,0,IF($O$2=1,$M$2,1)*$L$2))</f>
        <v>0</v>
      </c>
      <c r="O7" s="4">
        <f t="shared" si="7"/>
        <v>0</v>
      </c>
      <c r="P7" s="4">
        <f t="shared" si="2"/>
        <v>130225.98811541157</v>
      </c>
      <c r="Q7" s="4">
        <f t="shared" si="3"/>
        <v>130225.98811541157</v>
      </c>
      <c r="R7" s="7" t="e">
        <f t="shared" si="8"/>
        <v>#DIV/0!</v>
      </c>
      <c r="S7" s="6" t="e">
        <f t="shared" si="9"/>
        <v>#DIV/0!</v>
      </c>
      <c r="U7" s="6">
        <v>-2.8739930775548039E-2</v>
      </c>
    </row>
    <row r="8" spans="1:23" x14ac:dyDescent="0.35">
      <c r="A8">
        <v>5</v>
      </c>
      <c r="B8">
        <v>59</v>
      </c>
      <c r="D8" s="4">
        <v>35000</v>
      </c>
      <c r="E8" s="4">
        <v>0</v>
      </c>
      <c r="F8" s="4">
        <v>0</v>
      </c>
      <c r="G8" s="4">
        <v>0</v>
      </c>
      <c r="H8">
        <f>-7081*(1.1)</f>
        <v>-7789.1</v>
      </c>
      <c r="I8" s="4">
        <f t="shared" si="0"/>
        <v>0</v>
      </c>
      <c r="J8" s="4">
        <f t="shared" si="4"/>
        <v>157436.88811541157</v>
      </c>
      <c r="K8" s="4">
        <f t="shared" si="1"/>
        <v>157436.88811541157</v>
      </c>
      <c r="L8" s="4">
        <f t="shared" si="5"/>
        <v>787.1844405770579</v>
      </c>
      <c r="M8" s="4">
        <f t="shared" si="6"/>
        <v>9446.2132869246943</v>
      </c>
      <c r="N8" s="4">
        <f t="shared" si="10"/>
        <v>0</v>
      </c>
      <c r="O8" s="4">
        <f t="shared" si="7"/>
        <v>0</v>
      </c>
      <c r="P8" s="4">
        <f t="shared" si="2"/>
        <v>167670.28584291332</v>
      </c>
      <c r="Q8" s="4">
        <f t="shared" si="3"/>
        <v>167670.28584291332</v>
      </c>
      <c r="R8" s="7" t="e">
        <f t="shared" si="8"/>
        <v>#DIV/0!</v>
      </c>
      <c r="S8" s="6" t="e">
        <f t="shared" si="9"/>
        <v>#DIV/0!</v>
      </c>
      <c r="U8" s="6">
        <v>-1.422842706668126E-2</v>
      </c>
    </row>
    <row r="9" spans="1:23" x14ac:dyDescent="0.35">
      <c r="A9">
        <v>6</v>
      </c>
      <c r="B9">
        <v>60</v>
      </c>
      <c r="D9" s="4">
        <v>35000</v>
      </c>
      <c r="E9" s="4">
        <v>0</v>
      </c>
      <c r="F9" s="4">
        <v>0</v>
      </c>
      <c r="G9" s="4">
        <v>0</v>
      </c>
      <c r="H9">
        <f>-7321*(1.1)</f>
        <v>-8053.1</v>
      </c>
      <c r="I9" s="4">
        <f t="shared" si="0"/>
        <v>0</v>
      </c>
      <c r="J9" s="4">
        <f t="shared" si="4"/>
        <v>194617.18584291331</v>
      </c>
      <c r="K9" s="4">
        <f t="shared" si="1"/>
        <v>194617.18584291331</v>
      </c>
      <c r="L9" s="4">
        <f t="shared" si="5"/>
        <v>973.08592921456659</v>
      </c>
      <c r="M9" s="4">
        <f t="shared" si="6"/>
        <v>11677.031150574798</v>
      </c>
      <c r="N9" s="4">
        <f t="shared" si="10"/>
        <v>0</v>
      </c>
      <c r="O9" s="4">
        <f t="shared" si="7"/>
        <v>0</v>
      </c>
      <c r="P9" s="4">
        <f t="shared" si="2"/>
        <v>207267.30292270269</v>
      </c>
      <c r="Q9" s="4">
        <f t="shared" si="3"/>
        <v>207267.30292270269</v>
      </c>
      <c r="R9" s="7" t="e">
        <f t="shared" si="8"/>
        <v>#DIV/0!</v>
      </c>
      <c r="S9" s="6" t="e">
        <f t="shared" si="9"/>
        <v>#DIV/0!</v>
      </c>
      <c r="U9" s="6">
        <v>-3.741195736755798E-3</v>
      </c>
    </row>
    <row r="10" spans="1:23" x14ac:dyDescent="0.35">
      <c r="A10">
        <v>7</v>
      </c>
      <c r="B10">
        <v>61</v>
      </c>
      <c r="D10" s="4">
        <v>35000</v>
      </c>
      <c r="E10" s="4">
        <v>0</v>
      </c>
      <c r="F10" s="4">
        <v>0</v>
      </c>
      <c r="G10" s="4">
        <v>0</v>
      </c>
      <c r="H10">
        <f>-7598*(1.1)</f>
        <v>-8357.8000000000011</v>
      </c>
      <c r="I10" s="4">
        <f t="shared" si="0"/>
        <v>0</v>
      </c>
      <c r="J10" s="4">
        <f t="shared" si="4"/>
        <v>233909.5029227027</v>
      </c>
      <c r="K10" s="4">
        <f t="shared" si="1"/>
        <v>233909.5029227027</v>
      </c>
      <c r="L10" s="4">
        <f t="shared" si="5"/>
        <v>1169.5475146135136</v>
      </c>
      <c r="M10" s="4">
        <f t="shared" si="6"/>
        <v>14034.570175362162</v>
      </c>
      <c r="N10" s="4">
        <f t="shared" si="10"/>
        <v>0</v>
      </c>
      <c r="O10" s="4">
        <f t="shared" si="7"/>
        <v>0</v>
      </c>
      <c r="P10" s="4">
        <f t="shared" si="2"/>
        <v>249113.62061267838</v>
      </c>
      <c r="Q10" s="4">
        <f t="shared" si="3"/>
        <v>249113.62061267838</v>
      </c>
      <c r="R10" s="7" t="e">
        <f t="shared" si="8"/>
        <v>#DIV/0!</v>
      </c>
      <c r="S10" s="6" t="e">
        <f t="shared" si="9"/>
        <v>#DIV/0!</v>
      </c>
      <c r="U10" s="6">
        <v>4.1627343904311331E-3</v>
      </c>
    </row>
    <row r="11" spans="1:23" x14ac:dyDescent="0.35">
      <c r="A11">
        <v>8</v>
      </c>
      <c r="B11">
        <v>62</v>
      </c>
      <c r="D11" s="4">
        <v>35000</v>
      </c>
      <c r="E11" s="4">
        <v>0</v>
      </c>
      <c r="F11" s="4">
        <v>0</v>
      </c>
      <c r="G11" s="4">
        <v>0</v>
      </c>
      <c r="H11">
        <f>-7918*(1.1)</f>
        <v>-8709.8000000000011</v>
      </c>
      <c r="I11" s="4">
        <f t="shared" si="0"/>
        <v>0</v>
      </c>
      <c r="J11" s="4">
        <f t="shared" si="4"/>
        <v>275403.82061267836</v>
      </c>
      <c r="K11" s="4">
        <f t="shared" si="1"/>
        <v>275403.82061267836</v>
      </c>
      <c r="L11" s="4">
        <f t="shared" si="5"/>
        <v>1377.0191030633919</v>
      </c>
      <c r="M11" s="4">
        <f t="shared" si="6"/>
        <v>16524.229236760701</v>
      </c>
      <c r="N11" s="4">
        <f t="shared" si="10"/>
        <v>0</v>
      </c>
      <c r="O11" s="4">
        <f t="shared" si="7"/>
        <v>0</v>
      </c>
      <c r="P11" s="4">
        <f t="shared" si="2"/>
        <v>293305.06895250245</v>
      </c>
      <c r="Q11" s="4">
        <f t="shared" si="3"/>
        <v>293305.06895250245</v>
      </c>
      <c r="R11" s="7" t="e">
        <f t="shared" si="8"/>
        <v>#DIV/0!</v>
      </c>
      <c r="S11" s="6" t="e">
        <f t="shared" si="9"/>
        <v>#DIV/0!</v>
      </c>
      <c r="U11" s="6">
        <v>1.0307787754198827E-2</v>
      </c>
    </row>
    <row r="12" spans="1:23" x14ac:dyDescent="0.35">
      <c r="A12">
        <v>9</v>
      </c>
      <c r="B12">
        <v>63</v>
      </c>
      <c r="D12" s="4">
        <v>35000</v>
      </c>
      <c r="E12" s="4">
        <v>0</v>
      </c>
      <c r="F12" s="4">
        <v>0</v>
      </c>
      <c r="G12" s="4">
        <v>0</v>
      </c>
      <c r="H12">
        <f>-8273*(1.1)</f>
        <v>-9100.3000000000011</v>
      </c>
      <c r="I12" s="4">
        <f t="shared" si="0"/>
        <v>0</v>
      </c>
      <c r="J12" s="4">
        <f t="shared" si="4"/>
        <v>319204.76895250246</v>
      </c>
      <c r="K12" s="4">
        <f t="shared" si="1"/>
        <v>319204.76895250246</v>
      </c>
      <c r="L12" s="4">
        <f t="shared" si="5"/>
        <v>1596.0238447625125</v>
      </c>
      <c r="M12" s="4">
        <f t="shared" si="6"/>
        <v>19152.286137150146</v>
      </c>
      <c r="N12" s="4">
        <f t="shared" si="10"/>
        <v>0</v>
      </c>
      <c r="O12" s="4">
        <f t="shared" si="7"/>
        <v>0</v>
      </c>
      <c r="P12" s="4">
        <f t="shared" si="2"/>
        <v>339953.07893441513</v>
      </c>
      <c r="Q12" s="4">
        <f t="shared" si="3"/>
        <v>339953.07893441513</v>
      </c>
      <c r="R12" s="7" t="e">
        <f t="shared" si="8"/>
        <v>#DIV/0!</v>
      </c>
      <c r="S12" s="6" t="e">
        <f t="shared" si="9"/>
        <v>#DIV/0!</v>
      </c>
      <c r="U12" s="6">
        <v>1.5209615238059637E-2</v>
      </c>
    </row>
    <row r="13" spans="1:23" x14ac:dyDescent="0.35">
      <c r="A13">
        <v>10</v>
      </c>
      <c r="B13">
        <v>64</v>
      </c>
      <c r="D13" s="4">
        <v>35000</v>
      </c>
      <c r="E13" s="4">
        <v>0</v>
      </c>
      <c r="F13" s="4">
        <v>0</v>
      </c>
      <c r="G13" s="4">
        <v>0</v>
      </c>
      <c r="H13">
        <f>-8683*(1.1)</f>
        <v>-9551.3000000000011</v>
      </c>
      <c r="I13" s="4">
        <f t="shared" si="0"/>
        <v>0</v>
      </c>
      <c r="J13" s="4">
        <f t="shared" si="4"/>
        <v>365401.77893441514</v>
      </c>
      <c r="K13" s="4">
        <f t="shared" si="1"/>
        <v>365401.77893441514</v>
      </c>
      <c r="L13" s="4">
        <f t="shared" si="5"/>
        <v>1827.0088946720757</v>
      </c>
      <c r="M13" s="4">
        <f t="shared" si="6"/>
        <v>21924.106736064907</v>
      </c>
      <c r="N13" s="4">
        <f t="shared" si="10"/>
        <v>0</v>
      </c>
      <c r="O13" s="4">
        <f t="shared" si="7"/>
        <v>0</v>
      </c>
      <c r="P13" s="4">
        <f t="shared" si="2"/>
        <v>389152.89456515212</v>
      </c>
      <c r="Q13" s="4">
        <f t="shared" si="3"/>
        <v>389152.89456515212</v>
      </c>
      <c r="R13" s="7" t="e">
        <f t="shared" si="8"/>
        <v>#DIV/0!</v>
      </c>
      <c r="S13" s="6" t="e">
        <f t="shared" si="9"/>
        <v>#DIV/0!</v>
      </c>
      <c r="U13" s="6">
        <v>1.9190744563043927E-2</v>
      </c>
    </row>
    <row r="14" spans="1:23" x14ac:dyDescent="0.35">
      <c r="A14">
        <v>11</v>
      </c>
      <c r="B14">
        <v>65</v>
      </c>
      <c r="D14" s="4">
        <v>35000</v>
      </c>
      <c r="E14" s="4">
        <v>0</v>
      </c>
      <c r="F14" s="4">
        <v>0</v>
      </c>
      <c r="G14" s="4">
        <v>0</v>
      </c>
      <c r="H14">
        <f>-6270*(1.1)</f>
        <v>-6897.0000000000009</v>
      </c>
      <c r="I14" s="4">
        <f t="shared" si="0"/>
        <v>0</v>
      </c>
      <c r="J14" s="4">
        <f t="shared" si="4"/>
        <v>417255.89456515212</v>
      </c>
      <c r="K14" s="4">
        <f t="shared" si="1"/>
        <v>417255.89456515212</v>
      </c>
      <c r="L14" s="4">
        <f t="shared" si="5"/>
        <v>2086.2794728257604</v>
      </c>
      <c r="M14" s="4">
        <f t="shared" si="6"/>
        <v>25035.353673909125</v>
      </c>
      <c r="N14" s="4">
        <f t="shared" si="10"/>
        <v>0</v>
      </c>
      <c r="O14" s="4">
        <f t="shared" si="7"/>
        <v>0</v>
      </c>
      <c r="P14" s="4">
        <f t="shared" si="2"/>
        <v>444377.52771188703</v>
      </c>
      <c r="Q14" s="4">
        <f t="shared" si="3"/>
        <v>444377.52771188703</v>
      </c>
      <c r="R14" s="7" t="e">
        <f t="shared" si="8"/>
        <v>#DIV/0!</v>
      </c>
      <c r="S14" s="6" t="e">
        <f t="shared" si="9"/>
        <v>#DIV/0!</v>
      </c>
      <c r="U14" s="6">
        <v>2.3724350680097928E-2</v>
      </c>
    </row>
    <row r="15" spans="1:23" x14ac:dyDescent="0.35">
      <c r="A15">
        <v>12</v>
      </c>
      <c r="B15">
        <v>66</v>
      </c>
      <c r="D15" s="4">
        <v>35000</v>
      </c>
      <c r="E15" s="4">
        <v>0</v>
      </c>
      <c r="F15" s="4">
        <v>0</v>
      </c>
      <c r="G15" s="4">
        <v>0</v>
      </c>
      <c r="H15">
        <f>-6686*(1.1)</f>
        <v>-7354.6</v>
      </c>
      <c r="I15" s="4">
        <f t="shared" si="0"/>
        <v>0</v>
      </c>
      <c r="J15" s="4">
        <f t="shared" si="4"/>
        <v>472022.92771188705</v>
      </c>
      <c r="K15" s="4">
        <f t="shared" si="1"/>
        <v>472022.92771188705</v>
      </c>
      <c r="L15" s="4">
        <f t="shared" si="5"/>
        <v>2360.1146385594352</v>
      </c>
      <c r="M15" s="4">
        <f t="shared" si="6"/>
        <v>28321.375662713221</v>
      </c>
      <c r="N15" s="4">
        <f t="shared" si="10"/>
        <v>0</v>
      </c>
      <c r="O15" s="4">
        <f t="shared" si="7"/>
        <v>0</v>
      </c>
      <c r="P15" s="4">
        <f t="shared" si="2"/>
        <v>502704.41801315971</v>
      </c>
      <c r="Q15" s="4">
        <f t="shared" si="3"/>
        <v>502704.41801315971</v>
      </c>
      <c r="R15" s="7" t="e">
        <f t="shared" si="8"/>
        <v>#DIV/0!</v>
      </c>
      <c r="S15" s="6" t="e">
        <f t="shared" si="9"/>
        <v>#DIV/0!</v>
      </c>
      <c r="U15" s="6">
        <v>2.7353922496712535E-2</v>
      </c>
    </row>
    <row r="16" spans="1:23" x14ac:dyDescent="0.35">
      <c r="A16">
        <v>13</v>
      </c>
      <c r="B16">
        <v>67</v>
      </c>
      <c r="D16" s="4">
        <v>35000</v>
      </c>
      <c r="E16" s="4">
        <v>0</v>
      </c>
      <c r="F16" s="4">
        <v>0</v>
      </c>
      <c r="G16" s="4">
        <v>0</v>
      </c>
      <c r="H16">
        <f>-7151*(1.1)</f>
        <v>-7866.1</v>
      </c>
      <c r="I16" s="4">
        <f t="shared" si="0"/>
        <v>0</v>
      </c>
      <c r="J16" s="4">
        <f t="shared" si="4"/>
        <v>529838.31801315967</v>
      </c>
      <c r="K16" s="4">
        <f t="shared" si="1"/>
        <v>529838.31801315967</v>
      </c>
      <c r="L16" s="4">
        <f t="shared" si="5"/>
        <v>2649.1915900657982</v>
      </c>
      <c r="M16" s="4">
        <f t="shared" si="6"/>
        <v>31790.29908078958</v>
      </c>
      <c r="N16" s="4">
        <f t="shared" si="10"/>
        <v>0</v>
      </c>
      <c r="O16" s="4">
        <f t="shared" si="7"/>
        <v>0</v>
      </c>
      <c r="P16" s="4">
        <f t="shared" si="2"/>
        <v>564277.80868401506</v>
      </c>
      <c r="Q16" s="4">
        <f t="shared" si="3"/>
        <v>564277.80868401506</v>
      </c>
      <c r="R16" s="7" t="e">
        <f t="shared" si="8"/>
        <v>#DIV/0!</v>
      </c>
      <c r="S16" s="6" t="e">
        <f t="shared" si="9"/>
        <v>#DIV/0!</v>
      </c>
      <c r="U16" s="6">
        <v>3.0309698026360632E-2</v>
      </c>
    </row>
    <row r="17" spans="1:21" x14ac:dyDescent="0.35">
      <c r="A17">
        <v>14</v>
      </c>
      <c r="B17">
        <v>68</v>
      </c>
      <c r="D17" s="4">
        <v>35000</v>
      </c>
      <c r="E17" s="4">
        <v>0</v>
      </c>
      <c r="F17" s="4">
        <v>0</v>
      </c>
      <c r="G17" s="4">
        <v>0</v>
      </c>
      <c r="H17">
        <f>-7671*(1.1)</f>
        <v>-8438.1</v>
      </c>
      <c r="I17" s="4">
        <f t="shared" si="0"/>
        <v>0</v>
      </c>
      <c r="J17" s="4">
        <f t="shared" si="4"/>
        <v>590839.70868401509</v>
      </c>
      <c r="K17" s="4">
        <f t="shared" si="1"/>
        <v>590839.70868401509</v>
      </c>
      <c r="L17" s="4">
        <f t="shared" si="5"/>
        <v>2954.1985434200756</v>
      </c>
      <c r="M17" s="4">
        <f t="shared" si="6"/>
        <v>35450.382521040905</v>
      </c>
      <c r="N17" s="4">
        <f t="shared" si="10"/>
        <v>0</v>
      </c>
      <c r="O17" s="4">
        <f t="shared" si="7"/>
        <v>0</v>
      </c>
      <c r="P17" s="4">
        <f t="shared" si="2"/>
        <v>629244.289748476</v>
      </c>
      <c r="Q17" s="4">
        <f t="shared" si="3"/>
        <v>629244.289748476</v>
      </c>
      <c r="R17" s="7" t="e">
        <f t="shared" si="8"/>
        <v>#DIV/0!</v>
      </c>
      <c r="S17" s="6" t="e">
        <f t="shared" si="9"/>
        <v>#DIV/0!</v>
      </c>
      <c r="U17" s="6">
        <v>3.2750310641361802E-2</v>
      </c>
    </row>
    <row r="18" spans="1:21" x14ac:dyDescent="0.35">
      <c r="A18">
        <v>15</v>
      </c>
      <c r="B18">
        <v>69</v>
      </c>
      <c r="D18" s="4">
        <v>35000</v>
      </c>
      <c r="E18" s="4">
        <v>0</v>
      </c>
      <c r="F18" s="4">
        <v>0</v>
      </c>
      <c r="G18" s="4">
        <v>0</v>
      </c>
      <c r="H18">
        <f>-8251*(1.1)</f>
        <v>-9076.1</v>
      </c>
      <c r="I18" s="4">
        <f t="shared" si="0"/>
        <v>0</v>
      </c>
      <c r="J18" s="4">
        <f t="shared" si="4"/>
        <v>655168.18974847603</v>
      </c>
      <c r="K18" s="4">
        <f t="shared" si="1"/>
        <v>655168.18974847603</v>
      </c>
      <c r="L18" s="4">
        <f t="shared" si="5"/>
        <v>3275.8409487423801</v>
      </c>
      <c r="M18" s="4">
        <f t="shared" si="6"/>
        <v>39310.091384908563</v>
      </c>
      <c r="N18" s="4">
        <f t="shared" si="10"/>
        <v>0</v>
      </c>
      <c r="O18" s="4">
        <f t="shared" si="7"/>
        <v>0</v>
      </c>
      <c r="P18" s="4">
        <f t="shared" si="2"/>
        <v>697754.12208212691</v>
      </c>
      <c r="Q18" s="4">
        <f t="shared" si="3"/>
        <v>697754.12208212691</v>
      </c>
      <c r="R18" s="7" t="e">
        <f t="shared" si="8"/>
        <v>#DIV/0!</v>
      </c>
      <c r="S18" s="6" t="e">
        <f t="shared" si="9"/>
        <v>#DIV/0!</v>
      </c>
      <c r="U18" s="6">
        <v>3.4788647479712331E-2</v>
      </c>
    </row>
    <row r="19" spans="1:21" x14ac:dyDescent="0.35">
      <c r="A19">
        <v>16</v>
      </c>
      <c r="B19">
        <v>70</v>
      </c>
      <c r="D19" s="4">
        <v>0</v>
      </c>
      <c r="E19" s="4">
        <v>62482</v>
      </c>
      <c r="F19" s="4">
        <f>(G18+E19)*$F$2</f>
        <v>3124.1000000000004</v>
      </c>
      <c r="G19" s="4">
        <f>E19+F19</f>
        <v>65606.100000000006</v>
      </c>
      <c r="H19">
        <f>-1496*(1.1)</f>
        <v>-1645.6000000000001</v>
      </c>
      <c r="I19" s="4">
        <f t="shared" si="0"/>
        <v>0</v>
      </c>
      <c r="J19" s="4">
        <f t="shared" si="4"/>
        <v>633626.52208212693</v>
      </c>
      <c r="K19" s="4">
        <f t="shared" si="1"/>
        <v>696108.52208212693</v>
      </c>
      <c r="L19" s="4">
        <f t="shared" si="5"/>
        <v>3168.1326104106347</v>
      </c>
      <c r="M19" s="4">
        <f t="shared" si="6"/>
        <v>38017.591324927613</v>
      </c>
      <c r="N19" s="4">
        <f t="shared" si="10"/>
        <v>312.41000000000003</v>
      </c>
      <c r="O19" s="4">
        <f t="shared" si="7"/>
        <v>3436.51</v>
      </c>
      <c r="P19" s="4">
        <f t="shared" si="2"/>
        <v>741043.16601746529</v>
      </c>
      <c r="Q19" s="4">
        <f t="shared" si="3"/>
        <v>675437.06601746532</v>
      </c>
      <c r="R19" s="8">
        <f t="shared" si="8"/>
        <v>4.9999999999999975E-3</v>
      </c>
      <c r="S19" s="6">
        <f t="shared" si="9"/>
        <v>9.999999999999995E-3</v>
      </c>
      <c r="U19" s="6">
        <v>3.7502596512605457E-2</v>
      </c>
    </row>
    <row r="20" spans="1:21" x14ac:dyDescent="0.35">
      <c r="A20">
        <v>17</v>
      </c>
      <c r="B20">
        <v>71</v>
      </c>
      <c r="D20" s="4">
        <v>0</v>
      </c>
      <c r="E20" s="4">
        <f>E19</f>
        <v>62482</v>
      </c>
      <c r="F20" s="4">
        <f>(G19+E20)*$F$2</f>
        <v>6404.4050000000007</v>
      </c>
      <c r="G20" s="4">
        <f>E20+F20+G19</f>
        <v>134492.505</v>
      </c>
      <c r="H20">
        <f>-1524*(1.1)</f>
        <v>-1676.4</v>
      </c>
      <c r="I20" s="4">
        <f t="shared" si="0"/>
        <v>0</v>
      </c>
      <c r="J20" s="4">
        <f t="shared" si="4"/>
        <v>611278.66601746529</v>
      </c>
      <c r="K20" s="4">
        <f t="shared" si="1"/>
        <v>739366.76601746527</v>
      </c>
      <c r="L20" s="4">
        <f t="shared" si="5"/>
        <v>3056.3933300873264</v>
      </c>
      <c r="M20" s="4">
        <f t="shared" si="6"/>
        <v>36676.719961047915</v>
      </c>
      <c r="N20" s="4">
        <f t="shared" si="10"/>
        <v>640.44050000000004</v>
      </c>
      <c r="O20" s="4">
        <f t="shared" si="7"/>
        <v>7044.8455000000004</v>
      </c>
      <c r="P20" s="4">
        <f t="shared" si="2"/>
        <v>786785.16530860052</v>
      </c>
      <c r="Q20" s="4">
        <f t="shared" si="3"/>
        <v>652292.66030860052</v>
      </c>
      <c r="R20" s="8">
        <f t="shared" si="8"/>
        <v>4.9999999999999975E-3</v>
      </c>
      <c r="S20" s="6">
        <f t="shared" si="9"/>
        <v>9.999999999999995E-3</v>
      </c>
      <c r="U20" s="6">
        <v>4.0103383972259099E-2</v>
      </c>
    </row>
    <row r="21" spans="1:21" x14ac:dyDescent="0.35">
      <c r="A21">
        <v>18</v>
      </c>
      <c r="B21">
        <v>72</v>
      </c>
      <c r="D21" s="4">
        <v>0</v>
      </c>
      <c r="E21" s="4">
        <f t="shared" ref="E21:E38" si="11">E20</f>
        <v>62482</v>
      </c>
      <c r="F21" s="4">
        <f t="shared" ref="F21:F69" si="12">(G20+E21)*$F$2</f>
        <v>9848.7252500000013</v>
      </c>
      <c r="G21" s="4">
        <f t="shared" ref="G21:G69" si="13">E21+F21+G20</f>
        <v>206823.23025000002</v>
      </c>
      <c r="H21">
        <f>-1516*(1.1)</f>
        <v>-1667.6000000000001</v>
      </c>
      <c r="I21" s="4">
        <f t="shared" si="0"/>
        <v>0</v>
      </c>
      <c r="J21" s="4">
        <f t="shared" si="4"/>
        <v>588143.06030860054</v>
      </c>
      <c r="K21" s="4">
        <f t="shared" si="1"/>
        <v>785117.56530860055</v>
      </c>
      <c r="L21" s="4">
        <f t="shared" si="5"/>
        <v>2940.7153015430026</v>
      </c>
      <c r="M21" s="4">
        <f t="shared" si="6"/>
        <v>35288.58361851603</v>
      </c>
      <c r="N21" s="4">
        <f t="shared" si="10"/>
        <v>984.872525</v>
      </c>
      <c r="O21" s="4">
        <f t="shared" si="7"/>
        <v>10833.597775</v>
      </c>
      <c r="P21" s="4">
        <f t="shared" si="2"/>
        <v>835165.33452865959</v>
      </c>
      <c r="Q21" s="4">
        <f t="shared" si="3"/>
        <v>628342.10427865956</v>
      </c>
      <c r="R21" s="8">
        <f t="shared" si="8"/>
        <v>4.999999999999994E-3</v>
      </c>
      <c r="S21" s="6">
        <f t="shared" si="9"/>
        <v>9.9999999999999967E-3</v>
      </c>
      <c r="U21" s="6">
        <v>4.2649070422006385E-2</v>
      </c>
    </row>
    <row r="22" spans="1:21" x14ac:dyDescent="0.35">
      <c r="A22">
        <v>19</v>
      </c>
      <c r="B22">
        <v>73</v>
      </c>
      <c r="D22" s="4">
        <v>0</v>
      </c>
      <c r="E22" s="4">
        <f t="shared" si="11"/>
        <v>62482</v>
      </c>
      <c r="F22" s="4">
        <f t="shared" si="12"/>
        <v>13465.261512500001</v>
      </c>
      <c r="G22" s="4">
        <f t="shared" si="13"/>
        <v>282770.49176250002</v>
      </c>
      <c r="H22">
        <f>-1460*(1.1)</f>
        <v>-1606.0000000000002</v>
      </c>
      <c r="I22" s="4">
        <f t="shared" si="0"/>
        <v>0</v>
      </c>
      <c r="J22" s="4">
        <f t="shared" si="4"/>
        <v>564254.10427865956</v>
      </c>
      <c r="K22" s="4">
        <f t="shared" si="1"/>
        <v>833559.33452865959</v>
      </c>
      <c r="L22" s="4">
        <f t="shared" si="5"/>
        <v>2821.2705213932977</v>
      </c>
      <c r="M22" s="4">
        <f t="shared" si="6"/>
        <v>33855.246256719576</v>
      </c>
      <c r="N22" s="4">
        <f t="shared" si="10"/>
        <v>1346.5261512500001</v>
      </c>
      <c r="O22" s="4">
        <f t="shared" si="7"/>
        <v>14811.787663750001</v>
      </c>
      <c r="P22" s="4">
        <f t="shared" si="2"/>
        <v>886394.16512177244</v>
      </c>
      <c r="Q22" s="4">
        <f t="shared" si="3"/>
        <v>603623.67335927242</v>
      </c>
      <c r="R22" s="8">
        <f t="shared" si="8"/>
        <v>5.0000000000000001E-3</v>
      </c>
      <c r="S22" s="6">
        <f t="shared" si="9"/>
        <v>0.01</v>
      </c>
      <c r="U22" s="6">
        <v>4.517345961886976E-2</v>
      </c>
    </row>
    <row r="23" spans="1:21" x14ac:dyDescent="0.35">
      <c r="A23">
        <v>20</v>
      </c>
      <c r="B23">
        <v>74</v>
      </c>
      <c r="D23" s="4">
        <v>0</v>
      </c>
      <c r="E23" s="4">
        <f t="shared" si="11"/>
        <v>62482</v>
      </c>
      <c r="F23" s="4">
        <f t="shared" si="12"/>
        <v>17262.624588125003</v>
      </c>
      <c r="G23" s="4">
        <f t="shared" si="13"/>
        <v>362515.11635062506</v>
      </c>
      <c r="H23">
        <f>-1338*(1.1)</f>
        <v>-1471.8000000000002</v>
      </c>
      <c r="I23" s="4">
        <f t="shared" si="0"/>
        <v>0</v>
      </c>
      <c r="J23" s="4">
        <f t="shared" si="4"/>
        <v>539669.87335927249</v>
      </c>
      <c r="K23" s="4">
        <f t="shared" si="1"/>
        <v>884922.3651217724</v>
      </c>
      <c r="L23" s="4">
        <f t="shared" si="5"/>
        <v>2698.3493667963621</v>
      </c>
      <c r="M23" s="4">
        <f t="shared" si="6"/>
        <v>32380.192401556342</v>
      </c>
      <c r="N23" s="4">
        <f t="shared" si="10"/>
        <v>1726.2624588125002</v>
      </c>
      <c r="O23" s="4">
        <f t="shared" si="7"/>
        <v>18988.8870469375</v>
      </c>
      <c r="P23" s="4">
        <f t="shared" si="2"/>
        <v>940716.05639587494</v>
      </c>
      <c r="Q23" s="4">
        <f t="shared" si="3"/>
        <v>578200.94004524988</v>
      </c>
      <c r="R23" s="8">
        <f t="shared" si="8"/>
        <v>4.9999999999999888E-3</v>
      </c>
      <c r="S23" s="6">
        <f t="shared" si="9"/>
        <v>9.9999999999999881E-3</v>
      </c>
      <c r="U23" s="6">
        <v>4.7696246248933649E-2</v>
      </c>
    </row>
    <row r="24" spans="1:21" x14ac:dyDescent="0.35">
      <c r="A24">
        <v>21</v>
      </c>
      <c r="B24">
        <v>75</v>
      </c>
      <c r="D24" s="4">
        <v>0</v>
      </c>
      <c r="E24" s="4">
        <f t="shared" si="11"/>
        <v>62482</v>
      </c>
      <c r="F24" s="4">
        <f t="shared" si="12"/>
        <v>21249.855817531254</v>
      </c>
      <c r="G24" s="4">
        <f t="shared" si="13"/>
        <v>446246.9721681563</v>
      </c>
      <c r="H24">
        <f>-1125*(1.1)</f>
        <v>-1237.5</v>
      </c>
      <c r="I24" s="4">
        <f t="shared" si="0"/>
        <v>0</v>
      </c>
      <c r="J24" s="4">
        <f t="shared" si="4"/>
        <v>514481.44004524988</v>
      </c>
      <c r="K24" s="4">
        <f t="shared" si="1"/>
        <v>939478.55639587494</v>
      </c>
      <c r="L24" s="4">
        <f t="shared" si="5"/>
        <v>2572.4072002262496</v>
      </c>
      <c r="M24" s="4">
        <f t="shared" si="6"/>
        <v>30868.88640271499</v>
      </c>
      <c r="N24" s="4">
        <f t="shared" si="10"/>
        <v>2124.9855817531252</v>
      </c>
      <c r="O24" s="4">
        <f t="shared" si="7"/>
        <v>23374.841399284378</v>
      </c>
      <c r="P24" s="4">
        <f t="shared" si="2"/>
        <v>998419.67697985366</v>
      </c>
      <c r="Q24" s="4">
        <f t="shared" si="3"/>
        <v>552172.70481169736</v>
      </c>
      <c r="R24" s="8">
        <f t="shared" si="8"/>
        <v>4.9999999999999975E-3</v>
      </c>
      <c r="S24" s="6">
        <f t="shared" si="9"/>
        <v>9.999999999999995E-3</v>
      </c>
      <c r="U24" s="6">
        <v>5.0228261075816905E-2</v>
      </c>
    </row>
    <row r="25" spans="1:21" x14ac:dyDescent="0.35">
      <c r="A25">
        <v>22</v>
      </c>
      <c r="B25">
        <v>76</v>
      </c>
      <c r="D25" s="4">
        <v>0</v>
      </c>
      <c r="E25" s="4">
        <f t="shared" si="11"/>
        <v>62482</v>
      </c>
      <c r="F25" s="4">
        <f t="shared" si="12"/>
        <v>25436.448608407816</v>
      </c>
      <c r="G25" s="4">
        <f t="shared" si="13"/>
        <v>534165.42077656416</v>
      </c>
      <c r="H25">
        <f>-1315*(1.1)</f>
        <v>-1446.5000000000002</v>
      </c>
      <c r="I25" s="4">
        <f t="shared" si="0"/>
        <v>0</v>
      </c>
      <c r="J25" s="4">
        <f t="shared" si="4"/>
        <v>488244.20481169736</v>
      </c>
      <c r="K25" s="4">
        <f t="shared" si="1"/>
        <v>996973.17697985366</v>
      </c>
      <c r="L25" s="4">
        <f t="shared" si="5"/>
        <v>2441.2210240584864</v>
      </c>
      <c r="M25" s="4">
        <f t="shared" si="6"/>
        <v>29294.65228870184</v>
      </c>
      <c r="N25" s="4">
        <f t="shared" si="10"/>
        <v>2543.6448608407813</v>
      </c>
      <c r="O25" s="4">
        <f t="shared" si="7"/>
        <v>27980.093469248597</v>
      </c>
      <c r="P25" s="4">
        <f t="shared" si="2"/>
        <v>1059232.7886227034</v>
      </c>
      <c r="Q25" s="4">
        <f t="shared" si="3"/>
        <v>525067.36784613924</v>
      </c>
      <c r="R25" s="8">
        <f t="shared" si="8"/>
        <v>4.9999999999999992E-3</v>
      </c>
      <c r="S25" s="6">
        <f t="shared" si="9"/>
        <v>9.9999999999999985E-3</v>
      </c>
      <c r="U25" s="6">
        <v>5.2733535189252834E-2</v>
      </c>
    </row>
    <row r="26" spans="1:21" x14ac:dyDescent="0.35">
      <c r="A26">
        <v>23</v>
      </c>
      <c r="B26">
        <v>77</v>
      </c>
      <c r="D26" s="4">
        <v>0</v>
      </c>
      <c r="E26" s="4">
        <f t="shared" si="11"/>
        <v>62482</v>
      </c>
      <c r="F26" s="4">
        <f t="shared" si="12"/>
        <v>29832.371038828209</v>
      </c>
      <c r="G26" s="4">
        <f t="shared" si="13"/>
        <v>626479.79181539232</v>
      </c>
      <c r="H26">
        <f>-1537*(1.1)</f>
        <v>-1690.7</v>
      </c>
      <c r="I26" s="4">
        <f t="shared" si="0"/>
        <v>0</v>
      </c>
      <c r="J26" s="4">
        <f t="shared" si="4"/>
        <v>460894.66784613929</v>
      </c>
      <c r="K26" s="4">
        <f t="shared" si="1"/>
        <v>1057542.0886227034</v>
      </c>
      <c r="L26" s="4">
        <f t="shared" si="5"/>
        <v>2304.4733392306966</v>
      </c>
      <c r="M26" s="4">
        <f t="shared" si="6"/>
        <v>27653.680070768358</v>
      </c>
      <c r="N26" s="4">
        <f t="shared" si="10"/>
        <v>2983.237103882821</v>
      </c>
      <c r="O26" s="4">
        <f t="shared" si="7"/>
        <v>32815.608142711026</v>
      </c>
      <c r="P26" s="4">
        <f t="shared" si="2"/>
        <v>1123299.0872792962</v>
      </c>
      <c r="Q26" s="4">
        <f t="shared" si="3"/>
        <v>496819.29546390392</v>
      </c>
      <c r="R26" s="8">
        <f t="shared" si="8"/>
        <v>4.9999999999999932E-3</v>
      </c>
      <c r="S26" s="6">
        <f t="shared" si="9"/>
        <v>9.9999999999999933E-3</v>
      </c>
      <c r="U26" s="6">
        <v>5.5211019168524444E-2</v>
      </c>
    </row>
    <row r="27" spans="1:21" x14ac:dyDescent="0.35">
      <c r="A27">
        <v>24</v>
      </c>
      <c r="B27">
        <v>78</v>
      </c>
      <c r="D27" s="4">
        <v>0</v>
      </c>
      <c r="E27" s="4">
        <f t="shared" si="11"/>
        <v>62482</v>
      </c>
      <c r="F27" s="4">
        <f t="shared" si="12"/>
        <v>34448.089590769618</v>
      </c>
      <c r="G27" s="4">
        <f t="shared" si="13"/>
        <v>723409.88140616193</v>
      </c>
      <c r="H27">
        <f>-1797*(1.1)</f>
        <v>-1976.7000000000003</v>
      </c>
      <c r="I27" s="4">
        <f t="shared" si="0"/>
        <v>0</v>
      </c>
      <c r="J27" s="4">
        <f t="shared" si="4"/>
        <v>432360.59546390397</v>
      </c>
      <c r="K27" s="4">
        <f t="shared" si="1"/>
        <v>1121322.3872792963</v>
      </c>
      <c r="L27" s="4">
        <f t="shared" si="5"/>
        <v>2161.8029773195199</v>
      </c>
      <c r="M27" s="4">
        <f t="shared" si="6"/>
        <v>25941.635727834237</v>
      </c>
      <c r="N27" s="4">
        <f t="shared" si="10"/>
        <v>3444.8089590769619</v>
      </c>
      <c r="O27" s="4">
        <f t="shared" si="7"/>
        <v>37892.898549846577</v>
      </c>
      <c r="P27" s="4">
        <f t="shared" si="2"/>
        <v>1190763.5334933735</v>
      </c>
      <c r="Q27" s="4">
        <f t="shared" si="3"/>
        <v>467353.65208721161</v>
      </c>
      <c r="R27" s="8">
        <f t="shared" si="8"/>
        <v>4.9999999999999966E-3</v>
      </c>
      <c r="S27" s="6">
        <f t="shared" si="9"/>
        <v>9.9999999999999933E-3</v>
      </c>
      <c r="U27" s="6">
        <v>5.7656325403991904E-2</v>
      </c>
    </row>
    <row r="28" spans="1:21" x14ac:dyDescent="0.35">
      <c r="A28">
        <v>25</v>
      </c>
      <c r="B28">
        <v>79</v>
      </c>
      <c r="D28" s="4">
        <v>0</v>
      </c>
      <c r="E28" s="4">
        <f t="shared" si="11"/>
        <v>62482</v>
      </c>
      <c r="F28" s="4">
        <f t="shared" si="12"/>
        <v>39294.5940703081</v>
      </c>
      <c r="G28" s="4">
        <f t="shared" si="13"/>
        <v>825186.47547647008</v>
      </c>
      <c r="H28">
        <f>-2098*(1.1)</f>
        <v>-2307.8000000000002</v>
      </c>
      <c r="I28" s="4">
        <f t="shared" si="0"/>
        <v>0</v>
      </c>
      <c r="J28" s="4">
        <f t="shared" si="4"/>
        <v>402563.85208721156</v>
      </c>
      <c r="K28" s="4">
        <f t="shared" si="1"/>
        <v>1188455.7334933735</v>
      </c>
      <c r="L28" s="4">
        <f t="shared" si="5"/>
        <v>2012.8192604360577</v>
      </c>
      <c r="M28" s="4">
        <f t="shared" si="6"/>
        <v>24153.831125232693</v>
      </c>
      <c r="N28" s="4">
        <f t="shared" si="10"/>
        <v>3929.4594070308099</v>
      </c>
      <c r="O28" s="4">
        <f t="shared" si="7"/>
        <v>43224.053477338908</v>
      </c>
      <c r="P28" s="4">
        <f t="shared" si="2"/>
        <v>1261775.896763412</v>
      </c>
      <c r="Q28" s="4">
        <f t="shared" si="3"/>
        <v>436589.42128694197</v>
      </c>
      <c r="R28" s="8">
        <f t="shared" si="8"/>
        <v>4.9999999999999984E-3</v>
      </c>
      <c r="S28" s="6">
        <f t="shared" si="9"/>
        <v>9.9999999999999967E-3</v>
      </c>
      <c r="U28" s="6">
        <v>6.0063121151742838E-2</v>
      </c>
    </row>
    <row r="29" spans="1:21" x14ac:dyDescent="0.35">
      <c r="A29">
        <v>26</v>
      </c>
      <c r="B29">
        <v>80</v>
      </c>
      <c r="D29" s="4">
        <v>0</v>
      </c>
      <c r="E29" s="4">
        <f t="shared" si="11"/>
        <v>62482</v>
      </c>
      <c r="F29" s="4">
        <f t="shared" si="12"/>
        <v>44383.42377382351</v>
      </c>
      <c r="G29" s="4">
        <f t="shared" si="13"/>
        <v>932051.89925029362</v>
      </c>
      <c r="H29">
        <f>-2450*(1.1)</f>
        <v>-2695</v>
      </c>
      <c r="I29" s="4">
        <f t="shared" si="0"/>
        <v>0</v>
      </c>
      <c r="J29" s="4">
        <f t="shared" si="4"/>
        <v>371412.42128694197</v>
      </c>
      <c r="K29" s="4">
        <f t="shared" si="1"/>
        <v>1259080.896763412</v>
      </c>
      <c r="L29" s="4">
        <f t="shared" si="5"/>
        <v>1857.0621064347099</v>
      </c>
      <c r="M29" s="4">
        <f t="shared" si="6"/>
        <v>22284.745277216516</v>
      </c>
      <c r="N29" s="4">
        <f t="shared" si="10"/>
        <v>4438.3423773823506</v>
      </c>
      <c r="O29" s="4">
        <f t="shared" si="7"/>
        <v>48821.766151205855</v>
      </c>
      <c r="P29" s="4">
        <f t="shared" si="2"/>
        <v>1336482.8126756514</v>
      </c>
      <c r="Q29" s="4">
        <f t="shared" si="3"/>
        <v>404430.91342535778</v>
      </c>
      <c r="R29" s="8">
        <f t="shared" si="8"/>
        <v>4.999999999999994E-3</v>
      </c>
      <c r="S29" s="6">
        <f t="shared" si="9"/>
        <v>9.9999999999999967E-3</v>
      </c>
      <c r="U29" s="6">
        <v>6.242366015996681E-2</v>
      </c>
    </row>
    <row r="30" spans="1:21" x14ac:dyDescent="0.35">
      <c r="A30">
        <v>27</v>
      </c>
      <c r="B30">
        <v>81</v>
      </c>
      <c r="D30" s="4">
        <v>0</v>
      </c>
      <c r="E30" s="4">
        <f t="shared" si="11"/>
        <v>62482</v>
      </c>
      <c r="F30" s="4">
        <f t="shared" si="12"/>
        <v>49726.694962514681</v>
      </c>
      <c r="G30" s="4">
        <f t="shared" si="13"/>
        <v>1044260.5942128083</v>
      </c>
      <c r="H30">
        <f>-2899*(1.1)</f>
        <v>-3188.9</v>
      </c>
      <c r="I30" s="4">
        <f t="shared" si="0"/>
        <v>0</v>
      </c>
      <c r="J30" s="4">
        <f t="shared" si="4"/>
        <v>338760.01342535776</v>
      </c>
      <c r="K30" s="4">
        <f t="shared" si="1"/>
        <v>1333293.9126756515</v>
      </c>
      <c r="L30" s="4">
        <f t="shared" si="5"/>
        <v>1693.8000671267894</v>
      </c>
      <c r="M30" s="4">
        <f t="shared" si="6"/>
        <v>20325.600805521473</v>
      </c>
      <c r="N30" s="4">
        <f t="shared" si="10"/>
        <v>4972.6694962514684</v>
      </c>
      <c r="O30" s="4">
        <f t="shared" si="7"/>
        <v>54699.364458766147</v>
      </c>
      <c r="P30" s="4">
        <f t="shared" si="2"/>
        <v>1414985.3475033173</v>
      </c>
      <c r="Q30" s="4">
        <f t="shared" si="3"/>
        <v>370724.75329050899</v>
      </c>
      <c r="R30" s="8">
        <f t="shared" si="8"/>
        <v>4.9999999999999984E-3</v>
      </c>
      <c r="S30" s="6">
        <f t="shared" si="9"/>
        <v>9.9999999999999967E-3</v>
      </c>
      <c r="U30" s="6">
        <v>6.4728149216610076E-2</v>
      </c>
    </row>
    <row r="31" spans="1:21" x14ac:dyDescent="0.35">
      <c r="A31">
        <v>28</v>
      </c>
      <c r="B31">
        <v>82</v>
      </c>
      <c r="D31" s="4">
        <v>0</v>
      </c>
      <c r="E31" s="4">
        <f t="shared" si="11"/>
        <v>62482</v>
      </c>
      <c r="F31" s="4">
        <f t="shared" si="12"/>
        <v>55337.129710640409</v>
      </c>
      <c r="G31" s="4">
        <f t="shared" si="13"/>
        <v>1162079.7239234487</v>
      </c>
      <c r="H31">
        <f>-3428*(1.1)</f>
        <v>-3770.8</v>
      </c>
      <c r="I31" s="4">
        <f t="shared" si="0"/>
        <v>0</v>
      </c>
      <c r="J31" s="4">
        <f t="shared" si="4"/>
        <v>304471.95329050906</v>
      </c>
      <c r="K31" s="4">
        <f t="shared" si="1"/>
        <v>1411214.5475033172</v>
      </c>
      <c r="L31" s="4">
        <f t="shared" si="5"/>
        <v>1522.3597664525448</v>
      </c>
      <c r="M31" s="4">
        <f t="shared" si="6"/>
        <v>18268.317197430537</v>
      </c>
      <c r="N31" s="4">
        <f t="shared" si="10"/>
        <v>5533.7129710640411</v>
      </c>
      <c r="O31" s="4">
        <f t="shared" si="7"/>
        <v>60870.842681704453</v>
      </c>
      <c r="P31" s="4">
        <f t="shared" si="2"/>
        <v>1497409.780119969</v>
      </c>
      <c r="Q31" s="4">
        <f t="shared" si="3"/>
        <v>335330.05619652034</v>
      </c>
      <c r="R31" s="8">
        <f t="shared" si="8"/>
        <v>5.0000000000000027E-3</v>
      </c>
      <c r="S31" s="6">
        <f t="shared" si="9"/>
        <v>1.0000000000000005E-2</v>
      </c>
      <c r="U31" s="6">
        <v>6.6968542193958092E-2</v>
      </c>
    </row>
    <row r="32" spans="1:21" x14ac:dyDescent="0.35">
      <c r="A32">
        <v>29</v>
      </c>
      <c r="B32">
        <v>83</v>
      </c>
      <c r="D32" s="4">
        <v>0</v>
      </c>
      <c r="E32" s="4">
        <f t="shared" si="11"/>
        <v>62482</v>
      </c>
      <c r="F32" s="4">
        <f t="shared" si="12"/>
        <v>61228.086196172437</v>
      </c>
      <c r="G32" s="4">
        <f t="shared" si="13"/>
        <v>1285789.8101196212</v>
      </c>
      <c r="H32">
        <f>-4047*(1.1)</f>
        <v>-4451.7000000000007</v>
      </c>
      <c r="I32" s="4">
        <f t="shared" si="0"/>
        <v>0</v>
      </c>
      <c r="J32" s="4">
        <f t="shared" si="4"/>
        <v>268396.35619652038</v>
      </c>
      <c r="K32" s="4">
        <f t="shared" si="1"/>
        <v>1492958.0801199691</v>
      </c>
      <c r="L32" s="4">
        <f t="shared" si="5"/>
        <v>1341.9817809826015</v>
      </c>
      <c r="M32" s="4">
        <f t="shared" si="6"/>
        <v>16103.781371791223</v>
      </c>
      <c r="N32" s="4">
        <f t="shared" si="10"/>
        <v>6122.8086196172435</v>
      </c>
      <c r="O32" s="4">
        <f t="shared" si="7"/>
        <v>67350.894815789681</v>
      </c>
      <c r="P32" s="4">
        <f t="shared" si="2"/>
        <v>1583877.5467081498</v>
      </c>
      <c r="Q32" s="4">
        <f t="shared" si="3"/>
        <v>298087.73658852861</v>
      </c>
      <c r="R32" s="8">
        <f t="shared" si="8"/>
        <v>5.000000000000001E-3</v>
      </c>
      <c r="S32" s="6">
        <f t="shared" si="9"/>
        <v>9.999999999999995E-3</v>
      </c>
      <c r="U32" s="6">
        <v>6.9137482234755687E-2</v>
      </c>
    </row>
    <row r="33" spans="1:21" x14ac:dyDescent="0.35">
      <c r="A33">
        <v>30</v>
      </c>
      <c r="B33">
        <v>84</v>
      </c>
      <c r="D33" s="4">
        <v>0</v>
      </c>
      <c r="E33" s="4">
        <f t="shared" si="11"/>
        <v>62482</v>
      </c>
      <c r="F33" s="4">
        <f t="shared" si="12"/>
        <v>67413.590505981061</v>
      </c>
      <c r="G33" s="4">
        <f t="shared" si="13"/>
        <v>1415685.4006256023</v>
      </c>
      <c r="H33">
        <f>-4775*(1.1)</f>
        <v>-5252.5</v>
      </c>
      <c r="I33" s="4">
        <f t="shared" si="0"/>
        <v>0</v>
      </c>
      <c r="J33" s="4">
        <f t="shared" si="4"/>
        <v>230353.23658852861</v>
      </c>
      <c r="K33" s="4">
        <f t="shared" si="1"/>
        <v>1578625.0467081498</v>
      </c>
      <c r="L33" s="4">
        <f t="shared" si="5"/>
        <v>1151.7661829426429</v>
      </c>
      <c r="M33" s="4">
        <f t="shared" si="6"/>
        <v>13821.194195311717</v>
      </c>
      <c r="N33" s="4">
        <f t="shared" si="10"/>
        <v>6741.3590505981065</v>
      </c>
      <c r="O33" s="4">
        <f t="shared" si="7"/>
        <v>74154.949556579173</v>
      </c>
      <c r="P33" s="4">
        <f t="shared" si="2"/>
        <v>1674494.3156935812</v>
      </c>
      <c r="Q33" s="4">
        <f t="shared" si="3"/>
        <v>258808.9150679789</v>
      </c>
      <c r="R33" s="8">
        <f t="shared" si="8"/>
        <v>5.0000000000000044E-3</v>
      </c>
      <c r="S33" s="6">
        <f t="shared" si="9"/>
        <v>1.0000000000000009E-2</v>
      </c>
      <c r="U33" s="6">
        <v>7.1228380707568872E-2</v>
      </c>
    </row>
    <row r="34" spans="1:21" x14ac:dyDescent="0.35">
      <c r="A34">
        <v>31</v>
      </c>
      <c r="B34">
        <v>85</v>
      </c>
      <c r="D34" s="4">
        <v>0</v>
      </c>
      <c r="E34" s="4">
        <f t="shared" si="11"/>
        <v>62482</v>
      </c>
      <c r="F34" s="4">
        <f t="shared" si="12"/>
        <v>73908.370031280123</v>
      </c>
      <c r="G34" s="4">
        <f t="shared" si="13"/>
        <v>1552075.7706568826</v>
      </c>
      <c r="H34">
        <f>-5687*(1.1)</f>
        <v>-6255.7000000000007</v>
      </c>
      <c r="I34" s="4">
        <f t="shared" si="0"/>
        <v>0</v>
      </c>
      <c r="J34" s="4">
        <f t="shared" si="4"/>
        <v>190071.21506797895</v>
      </c>
      <c r="K34" s="4">
        <f t="shared" si="1"/>
        <v>1668238.6156935813</v>
      </c>
      <c r="L34" s="4">
        <f t="shared" si="5"/>
        <v>950.35607533989435</v>
      </c>
      <c r="M34" s="4">
        <f t="shared" si="6"/>
        <v>11404.272904078736</v>
      </c>
      <c r="N34" s="4">
        <f t="shared" si="10"/>
        <v>7390.8370031280119</v>
      </c>
      <c r="O34" s="4">
        <f t="shared" si="7"/>
        <v>81299.207034408129</v>
      </c>
      <c r="P34" s="4">
        <f t="shared" si="2"/>
        <v>1769283.288710536</v>
      </c>
      <c r="Q34" s="4">
        <f t="shared" si="3"/>
        <v>217207.51805365342</v>
      </c>
      <c r="R34" s="8">
        <f t="shared" si="8"/>
        <v>4.9999999999999966E-3</v>
      </c>
      <c r="S34" s="6">
        <f t="shared" si="9"/>
        <v>9.9999999999999933E-3</v>
      </c>
      <c r="U34" s="6">
        <v>7.3234376975163329E-2</v>
      </c>
    </row>
    <row r="35" spans="1:21" x14ac:dyDescent="0.35">
      <c r="A35">
        <v>32</v>
      </c>
      <c r="B35">
        <v>86</v>
      </c>
      <c r="D35" s="4">
        <v>0</v>
      </c>
      <c r="E35" s="4">
        <f t="shared" si="11"/>
        <v>62482</v>
      </c>
      <c r="F35" s="4">
        <f t="shared" si="12"/>
        <v>80727.888532844139</v>
      </c>
      <c r="G35" s="4">
        <f t="shared" si="13"/>
        <v>1695285.6591897267</v>
      </c>
      <c r="H35">
        <f>-6779*(1.1)</f>
        <v>-7456.9000000000005</v>
      </c>
      <c r="I35" s="4">
        <f t="shared" si="0"/>
        <v>0</v>
      </c>
      <c r="J35" s="4">
        <f t="shared" si="4"/>
        <v>147268.61805365351</v>
      </c>
      <c r="K35" s="4">
        <f t="shared" si="1"/>
        <v>1761826.3887105361</v>
      </c>
      <c r="L35" s="4">
        <f t="shared" si="5"/>
        <v>736.34309026826759</v>
      </c>
      <c r="M35" s="4">
        <f t="shared" si="6"/>
        <v>8836.1170832192111</v>
      </c>
      <c r="N35" s="4">
        <f t="shared" si="10"/>
        <v>8072.7888532844127</v>
      </c>
      <c r="O35" s="4">
        <f t="shared" si="7"/>
        <v>88800.677386128547</v>
      </c>
      <c r="P35" s="4">
        <f t="shared" si="2"/>
        <v>1868272.3151234365</v>
      </c>
      <c r="Q35" s="4">
        <f t="shared" si="3"/>
        <v>172986.65593370982</v>
      </c>
      <c r="R35" s="8">
        <f t="shared" si="8"/>
        <v>4.9999999999999975E-3</v>
      </c>
      <c r="S35" s="6">
        <f t="shared" si="9"/>
        <v>9.999999999999995E-3</v>
      </c>
      <c r="U35" s="6">
        <v>7.5151022477240037E-2</v>
      </c>
    </row>
    <row r="36" spans="1:21" x14ac:dyDescent="0.35">
      <c r="A36">
        <v>33</v>
      </c>
      <c r="B36">
        <v>87</v>
      </c>
      <c r="D36" s="4">
        <v>0</v>
      </c>
      <c r="E36" s="4">
        <f t="shared" si="11"/>
        <v>62482</v>
      </c>
      <c r="F36" s="4">
        <f t="shared" si="12"/>
        <v>87888.382959486335</v>
      </c>
      <c r="G36" s="4">
        <f t="shared" si="13"/>
        <v>1845656.0421492131</v>
      </c>
      <c r="H36">
        <f>-8081*(1.1)</f>
        <v>-8889.1</v>
      </c>
      <c r="I36" s="4">
        <f t="shared" si="0"/>
        <v>0</v>
      </c>
      <c r="J36" s="4">
        <f t="shared" si="4"/>
        <v>101615.55593370972</v>
      </c>
      <c r="K36" s="4">
        <f t="shared" si="1"/>
        <v>1859383.2151234364</v>
      </c>
      <c r="L36" s="4">
        <f t="shared" si="5"/>
        <v>508.07777966854803</v>
      </c>
      <c r="M36" s="4">
        <f t="shared" si="6"/>
        <v>6096.9333560225832</v>
      </c>
      <c r="N36" s="4">
        <f t="shared" si="10"/>
        <v>8788.8382959486335</v>
      </c>
      <c r="O36" s="4">
        <f t="shared" si="7"/>
        <v>96677.221255434968</v>
      </c>
      <c r="P36" s="4">
        <f t="shared" si="2"/>
        <v>1971454.2858105113</v>
      </c>
      <c r="Q36" s="4">
        <f t="shared" si="3"/>
        <v>125798.24366129818</v>
      </c>
      <c r="R36" s="8">
        <f t="shared" si="8"/>
        <v>5.0000000000000001E-3</v>
      </c>
      <c r="S36" s="6">
        <f t="shared" si="9"/>
        <v>0.01</v>
      </c>
      <c r="U36" s="6">
        <v>7.6975253334081062E-2</v>
      </c>
    </row>
    <row r="37" spans="1:21" x14ac:dyDescent="0.35">
      <c r="A37">
        <v>34</v>
      </c>
      <c r="B37">
        <v>88</v>
      </c>
      <c r="D37" s="4">
        <v>0</v>
      </c>
      <c r="E37" s="4">
        <f t="shared" si="11"/>
        <v>62482</v>
      </c>
      <c r="F37" s="4">
        <f t="shared" si="12"/>
        <v>95406.902107460657</v>
      </c>
      <c r="G37" s="4">
        <f t="shared" si="13"/>
        <v>2003544.9442566738</v>
      </c>
      <c r="H37">
        <f>-9657*(1.1)</f>
        <v>-10622.7</v>
      </c>
      <c r="I37" s="4">
        <f t="shared" si="0"/>
        <v>0</v>
      </c>
      <c r="J37" s="4">
        <f t="shared" si="4"/>
        <v>52693.54366129823</v>
      </c>
      <c r="K37" s="4">
        <f t="shared" si="1"/>
        <v>1960831.5858105114</v>
      </c>
      <c r="L37" s="4">
        <f t="shared" si="5"/>
        <v>263.46771830649118</v>
      </c>
      <c r="M37" s="4">
        <f t="shared" si="6"/>
        <v>3161.6126196778937</v>
      </c>
      <c r="N37" s="4">
        <f t="shared" si="10"/>
        <v>9540.6902107460664</v>
      </c>
      <c r="O37" s="4">
        <f t="shared" si="7"/>
        <v>104947.59231820672</v>
      </c>
      <c r="P37" s="4">
        <f t="shared" si="2"/>
        <v>2078744.9486774486</v>
      </c>
      <c r="Q37" s="4">
        <f t="shared" si="3"/>
        <v>75200.004420774756</v>
      </c>
      <c r="R37" s="8">
        <f t="shared" si="8"/>
        <v>4.9999999999999984E-3</v>
      </c>
      <c r="S37" s="6">
        <f t="shared" si="9"/>
        <v>9.9999999999999967E-3</v>
      </c>
      <c r="U37" s="6">
        <v>7.8704836490038454E-2</v>
      </c>
    </row>
    <row r="38" spans="1:21" x14ac:dyDescent="0.35">
      <c r="A38">
        <v>35</v>
      </c>
      <c r="B38">
        <v>89</v>
      </c>
      <c r="D38" s="4">
        <v>0</v>
      </c>
      <c r="E38" s="4">
        <f t="shared" si="11"/>
        <v>62482</v>
      </c>
      <c r="F38" s="4">
        <f t="shared" si="12"/>
        <v>103301.3472128337</v>
      </c>
      <c r="G38" s="4">
        <f t="shared" si="13"/>
        <v>2169328.2914695074</v>
      </c>
      <c r="H38">
        <f>-11544*(1.1)</f>
        <v>-12698.400000000001</v>
      </c>
      <c r="I38" s="4">
        <f t="shared" si="0"/>
        <v>0</v>
      </c>
      <c r="J38" s="13">
        <f t="shared" si="4"/>
        <v>19.604420774849132</v>
      </c>
      <c r="K38" s="4">
        <f t="shared" si="1"/>
        <v>2066046.5486774486</v>
      </c>
      <c r="L38" s="4">
        <f t="shared" si="5"/>
        <v>9.8022103874827737E-2</v>
      </c>
      <c r="M38" s="4">
        <f t="shared" si="6"/>
        <v>1.1762652464909478</v>
      </c>
      <c r="N38" s="4">
        <f t="shared" si="10"/>
        <v>10330.13472128337</v>
      </c>
      <c r="O38" s="4">
        <f t="shared" si="7"/>
        <v>113631.48193411707</v>
      </c>
      <c r="P38" s="4">
        <f t="shared" si="2"/>
        <v>2190009.4396201991</v>
      </c>
      <c r="Q38" s="4">
        <f>P38-G38</f>
        <v>20681.148150691763</v>
      </c>
      <c r="R38" s="8">
        <f t="shared" si="8"/>
        <v>4.9999999999999975E-3</v>
      </c>
      <c r="S38" s="6">
        <f t="shared" si="9"/>
        <v>9.999999999999995E-3</v>
      </c>
      <c r="U38" s="6">
        <v>8.0339000804155569E-2</v>
      </c>
    </row>
    <row r="39" spans="1:21" x14ac:dyDescent="0.35">
      <c r="A39">
        <v>36</v>
      </c>
      <c r="B39">
        <v>90</v>
      </c>
      <c r="D39" s="4">
        <v>0</v>
      </c>
      <c r="E39" s="4">
        <v>0</v>
      </c>
      <c r="F39" s="4">
        <f t="shared" si="12"/>
        <v>108466.41457347537</v>
      </c>
      <c r="G39" s="4">
        <f t="shared" si="13"/>
        <v>2277794.7060429826</v>
      </c>
      <c r="H39">
        <f>-13731*(1.1)</f>
        <v>-15104.1</v>
      </c>
      <c r="I39" s="4">
        <f t="shared" si="0"/>
        <v>0</v>
      </c>
      <c r="J39" s="4">
        <f t="shared" si="4"/>
        <v>5577.0481506916694</v>
      </c>
      <c r="K39" s="4">
        <f t="shared" si="1"/>
        <v>2174905.3396201991</v>
      </c>
      <c r="L39" s="4">
        <f t="shared" si="5"/>
        <v>27.88524075345893</v>
      </c>
      <c r="M39" s="4">
        <f t="shared" si="6"/>
        <v>334.62288904150017</v>
      </c>
      <c r="N39" s="4">
        <f t="shared" si="10"/>
        <v>10846.641457347538</v>
      </c>
      <c r="O39" s="4">
        <f t="shared" si="7"/>
        <v>119313.0560308229</v>
      </c>
      <c r="P39" s="4">
        <f t="shared" si="2"/>
        <v>2305427.5452381647</v>
      </c>
      <c r="Q39" s="4">
        <f>P39-G39</f>
        <v>27632.839195182081</v>
      </c>
      <c r="R39" s="8">
        <f t="shared" si="8"/>
        <v>4.9999999999999984E-3</v>
      </c>
      <c r="S39" s="6">
        <f t="shared" si="9"/>
        <v>9.9999999999999967E-3</v>
      </c>
      <c r="U39" s="6">
        <v>8.1856038138399256E-2</v>
      </c>
    </row>
    <row r="40" spans="1:21" x14ac:dyDescent="0.35">
      <c r="A40">
        <v>37</v>
      </c>
      <c r="B40">
        <v>91</v>
      </c>
      <c r="D40" s="4">
        <v>0</v>
      </c>
      <c r="E40" s="4">
        <v>0</v>
      </c>
      <c r="F40" s="4">
        <f t="shared" si="12"/>
        <v>113889.73530214914</v>
      </c>
      <c r="G40" s="4">
        <f t="shared" si="13"/>
        <v>2391684.441345132</v>
      </c>
      <c r="H40">
        <f>-13019*(1.1)</f>
        <v>-14320.900000000001</v>
      </c>
      <c r="I40" s="4">
        <f t="shared" si="0"/>
        <v>0</v>
      </c>
      <c r="J40" s="4">
        <f t="shared" si="4"/>
        <v>13311.939195182174</v>
      </c>
      <c r="K40" s="4">
        <f t="shared" si="1"/>
        <v>2291106.6452381648</v>
      </c>
      <c r="L40" s="4">
        <f t="shared" si="5"/>
        <v>66.559695975910003</v>
      </c>
      <c r="M40" s="4">
        <f t="shared" si="6"/>
        <v>798.71635171093044</v>
      </c>
      <c r="N40" s="4">
        <f t="shared" si="10"/>
        <v>11388.973530214913</v>
      </c>
      <c r="O40" s="4">
        <f t="shared" si="7"/>
        <v>125278.70883236405</v>
      </c>
      <c r="P40" s="4">
        <f t="shared" si="2"/>
        <v>2428639.6036484302</v>
      </c>
      <c r="Q40" s="4">
        <f t="shared" si="3"/>
        <v>36955.162303298246</v>
      </c>
      <c r="R40" s="8">
        <f t="shared" si="8"/>
        <v>4.9999999999999966E-3</v>
      </c>
      <c r="S40" s="6">
        <f t="shared" si="9"/>
        <v>9.9999999999999933E-3</v>
      </c>
      <c r="U40" s="6">
        <v>8.3263016412636892E-2</v>
      </c>
    </row>
    <row r="41" spans="1:21" x14ac:dyDescent="0.35">
      <c r="A41">
        <v>38</v>
      </c>
      <c r="B41">
        <v>92</v>
      </c>
      <c r="D41" s="4">
        <v>0</v>
      </c>
      <c r="E41" s="4">
        <v>0</v>
      </c>
      <c r="F41" s="4">
        <f t="shared" si="12"/>
        <v>119584.2220672566</v>
      </c>
      <c r="G41" s="4">
        <f t="shared" si="13"/>
        <v>2511268.6634123884</v>
      </c>
      <c r="H41">
        <f>-11445*(1.1)</f>
        <v>-12589.500000000002</v>
      </c>
      <c r="I41" s="4">
        <f t="shared" si="0"/>
        <v>0</v>
      </c>
      <c r="J41" s="4">
        <f t="shared" si="4"/>
        <v>24365.662303298246</v>
      </c>
      <c r="K41" s="4">
        <f t="shared" si="1"/>
        <v>2416050.1036484302</v>
      </c>
      <c r="L41" s="4">
        <f t="shared" si="5"/>
        <v>121.82831151649196</v>
      </c>
      <c r="M41" s="4">
        <f t="shared" si="6"/>
        <v>1461.9397381978947</v>
      </c>
      <c r="N41" s="4">
        <f t="shared" si="10"/>
        <v>11958.42220672566</v>
      </c>
      <c r="O41" s="4">
        <f t="shared" si="7"/>
        <v>131542.64427398227</v>
      </c>
      <c r="P41" s="4">
        <f t="shared" si="2"/>
        <v>2561134.9381788522</v>
      </c>
      <c r="Q41" s="4">
        <f t="shared" si="3"/>
        <v>49866.274766463786</v>
      </c>
      <c r="R41" s="8">
        <f t="shared" si="8"/>
        <v>5.0000000000000018E-3</v>
      </c>
      <c r="S41" s="6">
        <f t="shared" si="9"/>
        <v>1.0000000000000004E-2</v>
      </c>
      <c r="U41" s="6">
        <v>8.4575041596673284E-2</v>
      </c>
    </row>
    <row r="42" spans="1:21" x14ac:dyDescent="0.35">
      <c r="A42">
        <v>39</v>
      </c>
      <c r="B42">
        <v>93</v>
      </c>
      <c r="D42" s="4">
        <v>0</v>
      </c>
      <c r="E42" s="4">
        <v>0</v>
      </c>
      <c r="F42" s="4">
        <f t="shared" si="12"/>
        <v>125563.43317061942</v>
      </c>
      <c r="G42" s="4">
        <f t="shared" si="13"/>
        <v>2636832.0965830078</v>
      </c>
      <c r="H42">
        <f>-8774*(1.1)</f>
        <v>-9651.4000000000015</v>
      </c>
      <c r="I42" s="4">
        <f t="shared" si="0"/>
        <v>0</v>
      </c>
      <c r="J42" s="4">
        <f t="shared" si="4"/>
        <v>40214.874766463879</v>
      </c>
      <c r="K42" s="4">
        <f t="shared" si="1"/>
        <v>2551483.5381788523</v>
      </c>
      <c r="L42" s="4">
        <f t="shared" si="5"/>
        <v>201.0743738323194</v>
      </c>
      <c r="M42" s="4">
        <f t="shared" si="6"/>
        <v>2412.8924859878325</v>
      </c>
      <c r="N42" s="4">
        <f t="shared" si="10"/>
        <v>12556.343317061943</v>
      </c>
      <c r="O42" s="4">
        <f t="shared" si="7"/>
        <v>138119.77648768137</v>
      </c>
      <c r="P42" s="4">
        <f t="shared" si="2"/>
        <v>2704773.6248434163</v>
      </c>
      <c r="Q42" s="4">
        <f t="shared" si="3"/>
        <v>67941.528260408435</v>
      </c>
      <c r="R42" s="8">
        <f t="shared" si="8"/>
        <v>5.0000000000000044E-3</v>
      </c>
      <c r="S42" s="6">
        <f t="shared" si="9"/>
        <v>1.0000000000000009E-2</v>
      </c>
      <c r="U42" s="6">
        <v>8.580556178008103E-2</v>
      </c>
    </row>
    <row r="43" spans="1:21" x14ac:dyDescent="0.35">
      <c r="A43">
        <v>40</v>
      </c>
      <c r="B43">
        <v>94</v>
      </c>
      <c r="D43" s="4">
        <v>0</v>
      </c>
      <c r="E43" s="4">
        <v>0</v>
      </c>
      <c r="F43" s="4">
        <f t="shared" si="12"/>
        <v>131841.6048291504</v>
      </c>
      <c r="G43" s="4">
        <f t="shared" si="13"/>
        <v>2768673.7014121581</v>
      </c>
      <c r="H43">
        <f>-4698*(1.1)</f>
        <v>-5167.8</v>
      </c>
      <c r="I43" s="4">
        <f t="shared" si="0"/>
        <v>0</v>
      </c>
      <c r="J43" s="4">
        <f t="shared" si="4"/>
        <v>62773.728260408621</v>
      </c>
      <c r="K43" s="4">
        <f t="shared" si="1"/>
        <v>2699605.8248434165</v>
      </c>
      <c r="L43" s="4">
        <f t="shared" si="5"/>
        <v>313.86864130204384</v>
      </c>
      <c r="M43" s="4">
        <f t="shared" si="6"/>
        <v>3766.4236956245172</v>
      </c>
      <c r="N43" s="4">
        <f t="shared" si="10"/>
        <v>13184.16048291504</v>
      </c>
      <c r="O43" s="4">
        <f t="shared" si="7"/>
        <v>145025.76531206543</v>
      </c>
      <c r="P43" s="4">
        <f t="shared" si="2"/>
        <v>2861896.0429753233</v>
      </c>
      <c r="Q43" s="4">
        <f t="shared" si="3"/>
        <v>93222.341563165188</v>
      </c>
      <c r="R43" s="8">
        <f t="shared" si="8"/>
        <v>4.9999999999999966E-3</v>
      </c>
      <c r="S43" s="6">
        <f t="shared" si="9"/>
        <v>9.9999999999999933E-3</v>
      </c>
      <c r="U43" s="6">
        <v>8.6966691460090617E-2</v>
      </c>
    </row>
    <row r="44" spans="1:21" x14ac:dyDescent="0.35">
      <c r="A44">
        <v>41</v>
      </c>
      <c r="B44">
        <v>95</v>
      </c>
      <c r="D44" s="4">
        <v>0</v>
      </c>
      <c r="E44" s="4">
        <v>0</v>
      </c>
      <c r="F44" s="4">
        <f t="shared" si="12"/>
        <v>138433.6850706079</v>
      </c>
      <c r="G44" s="4">
        <f t="shared" si="13"/>
        <v>2907107.3864827659</v>
      </c>
      <c r="H44">
        <f t="shared" ref="H44:H69" si="14">-60*(1.1)</f>
        <v>-66</v>
      </c>
      <c r="I44" s="4">
        <f t="shared" si="0"/>
        <v>0</v>
      </c>
      <c r="J44" s="4">
        <f t="shared" si="4"/>
        <v>93156.341563165188</v>
      </c>
      <c r="K44" s="4">
        <f t="shared" si="1"/>
        <v>2861830.0429753233</v>
      </c>
      <c r="L44" s="4">
        <f t="shared" si="5"/>
        <v>465.78170781582639</v>
      </c>
      <c r="M44" s="4">
        <f t="shared" si="6"/>
        <v>5589.3804937899113</v>
      </c>
      <c r="N44" s="4">
        <f t="shared" si="10"/>
        <v>13843.36850706079</v>
      </c>
      <c r="O44" s="4">
        <f t="shared" si="7"/>
        <v>152277.0535776687</v>
      </c>
      <c r="P44" s="4">
        <f t="shared" si="2"/>
        <v>3034005.6272616582</v>
      </c>
      <c r="Q44" s="4">
        <f t="shared" si="3"/>
        <v>126898.2407788923</v>
      </c>
      <c r="R44" s="8">
        <f t="shared" si="8"/>
        <v>5.0000000000000053E-3</v>
      </c>
      <c r="S44" s="6">
        <f t="shared" si="9"/>
        <v>0.01</v>
      </c>
      <c r="U44" s="6">
        <v>8.8061338863395955E-2</v>
      </c>
    </row>
    <row r="45" spans="1:21" x14ac:dyDescent="0.35">
      <c r="A45">
        <v>42</v>
      </c>
      <c r="B45">
        <v>96</v>
      </c>
      <c r="D45" s="4">
        <v>0</v>
      </c>
      <c r="E45" s="4">
        <v>0</v>
      </c>
      <c r="F45" s="4">
        <f t="shared" si="12"/>
        <v>145355.3693241383</v>
      </c>
      <c r="G45" s="4">
        <f t="shared" si="13"/>
        <v>3052462.7558069043</v>
      </c>
      <c r="H45">
        <f t="shared" si="14"/>
        <v>-66</v>
      </c>
      <c r="I45" s="4">
        <f t="shared" si="0"/>
        <v>0</v>
      </c>
      <c r="J45" s="4">
        <f t="shared" si="4"/>
        <v>126832.2407788923</v>
      </c>
      <c r="K45" s="4">
        <f t="shared" si="1"/>
        <v>3033939.6272616582</v>
      </c>
      <c r="L45" s="4">
        <f t="shared" si="5"/>
        <v>634.1612038944611</v>
      </c>
      <c r="M45" s="4">
        <f t="shared" si="6"/>
        <v>7609.9344467335377</v>
      </c>
      <c r="N45" s="4">
        <f t="shared" si="10"/>
        <v>14535.53693241383</v>
      </c>
      <c r="O45" s="4">
        <f t="shared" si="7"/>
        <v>159890.90625655212</v>
      </c>
      <c r="P45" s="4">
        <f t="shared" si="2"/>
        <v>3216610.1661012522</v>
      </c>
      <c r="Q45" s="4">
        <f t="shared" si="3"/>
        <v>164147.41029434791</v>
      </c>
      <c r="R45" s="8">
        <f t="shared" si="8"/>
        <v>4.9999999999999949E-3</v>
      </c>
      <c r="S45" s="6">
        <f t="shared" si="9"/>
        <v>0.01</v>
      </c>
      <c r="U45" s="6">
        <v>8.9062358975624312E-2</v>
      </c>
    </row>
    <row r="46" spans="1:21" x14ac:dyDescent="0.35">
      <c r="A46">
        <v>43</v>
      </c>
      <c r="B46">
        <v>97</v>
      </c>
      <c r="D46" s="4">
        <v>0</v>
      </c>
      <c r="E46" s="4">
        <v>0</v>
      </c>
      <c r="F46" s="4">
        <f t="shared" si="12"/>
        <v>152623.13779034521</v>
      </c>
      <c r="G46" s="4">
        <f t="shared" si="13"/>
        <v>3205085.8935972494</v>
      </c>
      <c r="H46">
        <f t="shared" si="14"/>
        <v>-66</v>
      </c>
      <c r="I46" s="4">
        <f t="shared" si="0"/>
        <v>0</v>
      </c>
      <c r="J46" s="4">
        <f t="shared" si="4"/>
        <v>164081.41029434791</v>
      </c>
      <c r="K46" s="4">
        <f t="shared" si="1"/>
        <v>3216544.1661012522</v>
      </c>
      <c r="L46" s="4">
        <f t="shared" si="5"/>
        <v>820.40705147174003</v>
      </c>
      <c r="M46" s="4">
        <f t="shared" si="6"/>
        <v>9844.8846176608749</v>
      </c>
      <c r="N46" s="4">
        <f t="shared" si="10"/>
        <v>15262.313779034521</v>
      </c>
      <c r="O46" s="4">
        <f t="shared" si="7"/>
        <v>167885.45156937974</v>
      </c>
      <c r="P46" s="4">
        <f t="shared" si="2"/>
        <v>3410357.2231187988</v>
      </c>
      <c r="Q46" s="4">
        <f t="shared" si="3"/>
        <v>205271.3295215494</v>
      </c>
      <c r="R46" s="8">
        <f t="shared" si="8"/>
        <v>5.0000000000000044E-3</v>
      </c>
      <c r="S46" s="6">
        <f t="shared" si="9"/>
        <v>0.01</v>
      </c>
      <c r="U46" s="6">
        <v>8.9978728100499117E-2</v>
      </c>
    </row>
    <row r="47" spans="1:21" x14ac:dyDescent="0.35">
      <c r="A47">
        <v>44</v>
      </c>
      <c r="B47">
        <v>98</v>
      </c>
      <c r="D47" s="4">
        <v>0</v>
      </c>
      <c r="E47" s="4">
        <v>0</v>
      </c>
      <c r="F47" s="4">
        <f t="shared" si="12"/>
        <v>160254.29467986248</v>
      </c>
      <c r="G47" s="4">
        <f t="shared" si="13"/>
        <v>3365340.1882771119</v>
      </c>
      <c r="H47">
        <f t="shared" si="14"/>
        <v>-66</v>
      </c>
      <c r="I47" s="4">
        <f t="shared" si="0"/>
        <v>0</v>
      </c>
      <c r="J47" s="4">
        <f t="shared" si="4"/>
        <v>205205.3295215494</v>
      </c>
      <c r="K47" s="4">
        <f t="shared" si="1"/>
        <v>3410291.2231187988</v>
      </c>
      <c r="L47" s="4">
        <f t="shared" si="5"/>
        <v>1026.0266476077472</v>
      </c>
      <c r="M47" s="4">
        <f t="shared" si="6"/>
        <v>12312.319771292963</v>
      </c>
      <c r="N47" s="4">
        <f t="shared" si="10"/>
        <v>16025.429467986247</v>
      </c>
      <c r="O47" s="4">
        <f t="shared" si="7"/>
        <v>176279.72414784873</v>
      </c>
      <c r="P47" s="4">
        <f t="shared" si="2"/>
        <v>3615934.7231535348</v>
      </c>
      <c r="Q47" s="4">
        <f t="shared" si="3"/>
        <v>250594.53487642296</v>
      </c>
      <c r="R47" s="8">
        <f t="shared" si="8"/>
        <v>5.000000000000001E-3</v>
      </c>
      <c r="S47" s="6">
        <f t="shared" si="9"/>
        <v>1.0000000000000002E-2</v>
      </c>
      <c r="U47" s="6">
        <v>9.0818475459877979E-2</v>
      </c>
    </row>
    <row r="48" spans="1:21" x14ac:dyDescent="0.35">
      <c r="A48">
        <v>45</v>
      </c>
      <c r="B48">
        <v>99</v>
      </c>
      <c r="D48" s="4">
        <v>0</v>
      </c>
      <c r="E48" s="4">
        <v>0</v>
      </c>
      <c r="F48" s="4">
        <f t="shared" si="12"/>
        <v>168267.00941385562</v>
      </c>
      <c r="G48" s="4">
        <f t="shared" si="13"/>
        <v>3533607.1976909675</v>
      </c>
      <c r="H48">
        <f t="shared" si="14"/>
        <v>-66</v>
      </c>
      <c r="I48" s="4">
        <f t="shared" si="0"/>
        <v>0</v>
      </c>
      <c r="J48" s="4">
        <f t="shared" si="4"/>
        <v>250528.53487642296</v>
      </c>
      <c r="K48" s="4">
        <f t="shared" si="1"/>
        <v>3615868.7231535348</v>
      </c>
      <c r="L48" s="4">
        <f t="shared" si="5"/>
        <v>1252.6426743821148</v>
      </c>
      <c r="M48" s="4">
        <f t="shared" si="6"/>
        <v>15031.712092585376</v>
      </c>
      <c r="N48" s="4">
        <f t="shared" si="10"/>
        <v>16826.700941385559</v>
      </c>
      <c r="O48" s="4">
        <f t="shared" si="7"/>
        <v>185093.71035524114</v>
      </c>
      <c r="P48" s="4">
        <f t="shared" si="2"/>
        <v>3834073.4892171295</v>
      </c>
      <c r="Q48" s="4">
        <f t="shared" si="3"/>
        <v>300466.29152616207</v>
      </c>
      <c r="R48" s="8">
        <f t="shared" si="8"/>
        <v>4.9999999999999906E-3</v>
      </c>
      <c r="S48" s="6">
        <f t="shared" si="9"/>
        <v>9.9999999999999898E-3</v>
      </c>
      <c r="U48" s="6">
        <v>9.1588784618272356E-2</v>
      </c>
    </row>
    <row r="49" spans="1:21" x14ac:dyDescent="0.35">
      <c r="A49">
        <v>46</v>
      </c>
      <c r="B49">
        <v>100</v>
      </c>
      <c r="D49" s="4">
        <v>0</v>
      </c>
      <c r="E49" s="4">
        <v>0</v>
      </c>
      <c r="F49" s="4">
        <f t="shared" si="12"/>
        <v>176680.35988454838</v>
      </c>
      <c r="G49" s="4">
        <f t="shared" si="13"/>
        <v>3710287.5575755159</v>
      </c>
      <c r="H49">
        <f t="shared" si="14"/>
        <v>-66</v>
      </c>
      <c r="I49" s="4">
        <f t="shared" si="0"/>
        <v>0</v>
      </c>
      <c r="J49" s="4">
        <f t="shared" si="4"/>
        <v>300400.29152616207</v>
      </c>
      <c r="K49" s="4">
        <f t="shared" si="1"/>
        <v>3834007.4892171295</v>
      </c>
      <c r="L49" s="4">
        <f t="shared" si="5"/>
        <v>1502.0014576308097</v>
      </c>
      <c r="M49" s="4">
        <f t="shared" si="6"/>
        <v>18024.017491569724</v>
      </c>
      <c r="N49" s="4">
        <f t="shared" si="10"/>
        <v>17668.035988454838</v>
      </c>
      <c r="O49" s="4">
        <f t="shared" si="7"/>
        <v>194348.3958730032</v>
      </c>
      <c r="P49" s="4">
        <f t="shared" si="2"/>
        <v>4065549.9400277878</v>
      </c>
      <c r="Q49" s="4">
        <f t="shared" si="3"/>
        <v>355262.38245227188</v>
      </c>
      <c r="R49" s="8">
        <f t="shared" si="8"/>
        <v>4.9999999999999958E-3</v>
      </c>
      <c r="S49" s="6">
        <f t="shared" si="9"/>
        <v>0.01</v>
      </c>
      <c r="U49" s="6">
        <v>9.2296086234503916E-2</v>
      </c>
    </row>
    <row r="50" spans="1:21" x14ac:dyDescent="0.35">
      <c r="A50">
        <v>47</v>
      </c>
      <c r="B50">
        <v>101</v>
      </c>
      <c r="D50" s="4">
        <v>0</v>
      </c>
      <c r="E50" s="4">
        <v>0</v>
      </c>
      <c r="F50" s="4">
        <f t="shared" si="12"/>
        <v>185514.37787877582</v>
      </c>
      <c r="G50" s="4">
        <f t="shared" si="13"/>
        <v>3895801.9354542918</v>
      </c>
      <c r="H50">
        <f t="shared" si="14"/>
        <v>-66</v>
      </c>
      <c r="I50" s="4">
        <f t="shared" si="0"/>
        <v>0</v>
      </c>
      <c r="J50" s="4">
        <f t="shared" si="4"/>
        <v>355196.38245227188</v>
      </c>
      <c r="K50" s="4">
        <f t="shared" si="1"/>
        <v>4065483.9400277878</v>
      </c>
      <c r="L50" s="4">
        <f t="shared" si="5"/>
        <v>1775.9819122613594</v>
      </c>
      <c r="M50" s="4">
        <f t="shared" si="6"/>
        <v>21311.782947136311</v>
      </c>
      <c r="N50" s="4">
        <f t="shared" si="10"/>
        <v>18551.437787877581</v>
      </c>
      <c r="O50" s="4">
        <f t="shared" si="7"/>
        <v>204065.81566665339</v>
      </c>
      <c r="P50" s="4">
        <f t="shared" si="2"/>
        <v>4311188.9583417159</v>
      </c>
      <c r="Q50" s="4">
        <f t="shared" si="3"/>
        <v>415387.0228874241</v>
      </c>
      <c r="R50" s="8">
        <f t="shared" si="8"/>
        <v>4.9999999999999975E-3</v>
      </c>
      <c r="S50" s="6">
        <f t="shared" si="9"/>
        <v>9.999999999999995E-3</v>
      </c>
      <c r="U50" s="6">
        <v>9.2946141804156834E-2</v>
      </c>
    </row>
    <row r="51" spans="1:21" x14ac:dyDescent="0.35">
      <c r="A51">
        <v>48</v>
      </c>
      <c r="B51">
        <v>102</v>
      </c>
      <c r="D51" s="4">
        <v>0</v>
      </c>
      <c r="E51" s="4">
        <v>0</v>
      </c>
      <c r="F51" s="4">
        <f t="shared" si="12"/>
        <v>194790.09677271461</v>
      </c>
      <c r="G51" s="4">
        <f t="shared" si="13"/>
        <v>4090592.0322270063</v>
      </c>
      <c r="H51">
        <f t="shared" si="14"/>
        <v>-66</v>
      </c>
      <c r="I51" s="4">
        <f t="shared" si="0"/>
        <v>0</v>
      </c>
      <c r="J51" s="4">
        <f t="shared" si="4"/>
        <v>415321.0228874241</v>
      </c>
      <c r="K51" s="4">
        <f t="shared" si="1"/>
        <v>4311122.9583417159</v>
      </c>
      <c r="L51" s="4">
        <f t="shared" si="5"/>
        <v>2076.6051144371213</v>
      </c>
      <c r="M51" s="4">
        <f t="shared" si="6"/>
        <v>24919.261373245445</v>
      </c>
      <c r="N51" s="4">
        <f t="shared" si="10"/>
        <v>19479.009677271461</v>
      </c>
      <c r="O51" s="4">
        <f t="shared" si="7"/>
        <v>214269.10644998605</v>
      </c>
      <c r="P51" s="4">
        <f t="shared" si="2"/>
        <v>4571866.940956655</v>
      </c>
      <c r="Q51" s="4">
        <f t="shared" si="3"/>
        <v>481274.90872964868</v>
      </c>
      <c r="R51" s="8">
        <f t="shared" si="8"/>
        <v>4.9999999999999966E-3</v>
      </c>
      <c r="S51" s="6">
        <f t="shared" si="9"/>
        <v>0.01</v>
      </c>
      <c r="U51" s="6">
        <v>9.3544118624023342E-2</v>
      </c>
    </row>
    <row r="52" spans="1:21" x14ac:dyDescent="0.35">
      <c r="A52">
        <v>49</v>
      </c>
      <c r="B52">
        <v>103</v>
      </c>
      <c r="D52" s="4">
        <v>0</v>
      </c>
      <c r="E52" s="4">
        <v>0</v>
      </c>
      <c r="F52" s="4">
        <f t="shared" si="12"/>
        <v>204529.60161135031</v>
      </c>
      <c r="G52" s="4">
        <f t="shared" si="13"/>
        <v>4295121.6338383565</v>
      </c>
      <c r="H52">
        <f t="shared" si="14"/>
        <v>-66</v>
      </c>
      <c r="I52" s="4">
        <f t="shared" si="0"/>
        <v>0</v>
      </c>
      <c r="J52" s="4">
        <f t="shared" si="4"/>
        <v>481208.90872964868</v>
      </c>
      <c r="K52" s="4">
        <f t="shared" si="1"/>
        <v>4571800.940956655</v>
      </c>
      <c r="L52" s="4">
        <f t="shared" si="5"/>
        <v>2406.0445436482441</v>
      </c>
      <c r="M52" s="4">
        <f t="shared" si="6"/>
        <v>28872.534523778919</v>
      </c>
      <c r="N52" s="4">
        <f t="shared" si="10"/>
        <v>20452.960161135034</v>
      </c>
      <c r="O52" s="4">
        <f t="shared" si="7"/>
        <v>224982.56177248535</v>
      </c>
      <c r="P52" s="4">
        <f t="shared" si="2"/>
        <v>4848515.0419577016</v>
      </c>
      <c r="Q52" s="4">
        <f t="shared" si="3"/>
        <v>553393.40811934508</v>
      </c>
      <c r="R52" s="8">
        <f t="shared" si="8"/>
        <v>5.0000000000000018E-3</v>
      </c>
      <c r="S52" s="6">
        <f t="shared" si="9"/>
        <v>1.0000000000000004E-2</v>
      </c>
      <c r="U52" s="6">
        <v>9.4094656502725638E-2</v>
      </c>
    </row>
    <row r="53" spans="1:21" x14ac:dyDescent="0.35">
      <c r="A53">
        <v>50</v>
      </c>
      <c r="B53">
        <v>104</v>
      </c>
      <c r="D53" s="4">
        <v>0</v>
      </c>
      <c r="E53" s="4">
        <v>0</v>
      </c>
      <c r="F53" s="4">
        <f t="shared" si="12"/>
        <v>214756.08169191785</v>
      </c>
      <c r="G53" s="4">
        <f t="shared" si="13"/>
        <v>4509877.7155302744</v>
      </c>
      <c r="H53">
        <f t="shared" si="14"/>
        <v>-66</v>
      </c>
      <c r="I53" s="4">
        <f t="shared" si="0"/>
        <v>0</v>
      </c>
      <c r="J53" s="4">
        <f t="shared" si="4"/>
        <v>553327.40811934508</v>
      </c>
      <c r="K53" s="4">
        <f t="shared" si="1"/>
        <v>4848449.0419577016</v>
      </c>
      <c r="L53" s="4">
        <f t="shared" si="5"/>
        <v>2766.637040596725</v>
      </c>
      <c r="M53" s="4">
        <f t="shared" si="6"/>
        <v>33199.644487160702</v>
      </c>
      <c r="N53" s="4">
        <f t="shared" si="10"/>
        <v>21475.608169191783</v>
      </c>
      <c r="O53" s="4">
        <f t="shared" si="7"/>
        <v>236231.6898611096</v>
      </c>
      <c r="P53" s="4">
        <f t="shared" si="2"/>
        <v>5142122.6215157593</v>
      </c>
      <c r="Q53" s="4">
        <f t="shared" si="3"/>
        <v>632244.90598548483</v>
      </c>
      <c r="R53" s="8">
        <f t="shared" si="8"/>
        <v>4.9999999999999923E-3</v>
      </c>
      <c r="S53" s="6">
        <f t="shared" si="9"/>
        <v>9.9999999999999915E-3</v>
      </c>
      <c r="U53" s="6">
        <v>9.4601926892226684E-2</v>
      </c>
    </row>
    <row r="54" spans="1:21" x14ac:dyDescent="0.35">
      <c r="A54">
        <v>51</v>
      </c>
      <c r="B54">
        <v>105</v>
      </c>
      <c r="D54" s="4">
        <v>0</v>
      </c>
      <c r="E54" s="4">
        <v>0</v>
      </c>
      <c r="F54" s="4">
        <f t="shared" si="12"/>
        <v>225493.88577651372</v>
      </c>
      <c r="G54" s="4">
        <f t="shared" si="13"/>
        <v>4735371.6013067886</v>
      </c>
      <c r="H54">
        <f t="shared" si="14"/>
        <v>-66</v>
      </c>
      <c r="I54" s="4">
        <f t="shared" si="0"/>
        <v>0</v>
      </c>
      <c r="J54" s="4">
        <f t="shared" si="4"/>
        <v>632178.90598548483</v>
      </c>
      <c r="K54" s="4">
        <f t="shared" si="1"/>
        <v>5142056.6215157593</v>
      </c>
      <c r="L54" s="4">
        <f t="shared" si="5"/>
        <v>3160.8945299274219</v>
      </c>
      <c r="M54" s="4">
        <f t="shared" si="6"/>
        <v>37930.734359129092</v>
      </c>
      <c r="N54" s="4">
        <f t="shared" si="10"/>
        <v>22549.388577651374</v>
      </c>
      <c r="O54" s="4">
        <f t="shared" si="7"/>
        <v>248043.2743541651</v>
      </c>
      <c r="P54" s="4">
        <f t="shared" si="2"/>
        <v>5453740.9133366328</v>
      </c>
      <c r="Q54" s="4">
        <f t="shared" si="3"/>
        <v>718369.31202984415</v>
      </c>
      <c r="R54" s="8">
        <f t="shared" si="8"/>
        <v>5.000000000000001E-3</v>
      </c>
      <c r="S54" s="6">
        <f t="shared" si="9"/>
        <v>1.0000000000000002E-2</v>
      </c>
      <c r="U54" s="6">
        <v>9.506968516385772E-2</v>
      </c>
    </row>
    <row r="55" spans="1:21" x14ac:dyDescent="0.35">
      <c r="A55">
        <v>52</v>
      </c>
      <c r="B55">
        <v>106</v>
      </c>
      <c r="D55" s="4">
        <v>0</v>
      </c>
      <c r="E55" s="4">
        <v>0</v>
      </c>
      <c r="F55" s="4">
        <f t="shared" si="12"/>
        <v>236768.58006533945</v>
      </c>
      <c r="G55" s="4">
        <f t="shared" si="13"/>
        <v>4972140.1813721284</v>
      </c>
      <c r="H55">
        <f t="shared" si="14"/>
        <v>-66</v>
      </c>
      <c r="I55" s="4">
        <f t="shared" si="0"/>
        <v>0</v>
      </c>
      <c r="J55" s="4">
        <f t="shared" si="4"/>
        <v>718303.31202984415</v>
      </c>
      <c r="K55" s="4">
        <f t="shared" si="1"/>
        <v>5453674.9133366328</v>
      </c>
      <c r="L55" s="4">
        <f t="shared" si="5"/>
        <v>3591.516560149219</v>
      </c>
      <c r="M55" s="4">
        <f t="shared" si="6"/>
        <v>43098.19872179065</v>
      </c>
      <c r="N55" s="4">
        <f t="shared" si="10"/>
        <v>23676.858006533945</v>
      </c>
      <c r="O55" s="4">
        <f t="shared" si="7"/>
        <v>260445.43807187339</v>
      </c>
      <c r="P55" s="4">
        <f t="shared" si="2"/>
        <v>5784486.92469698</v>
      </c>
      <c r="Q55" s="4">
        <f t="shared" si="3"/>
        <v>812346.74332485162</v>
      </c>
      <c r="R55" s="8">
        <f t="shared" si="8"/>
        <v>4.9999999999999984E-3</v>
      </c>
      <c r="S55" s="6">
        <f t="shared" si="9"/>
        <v>9.9999999999999967E-3</v>
      </c>
      <c r="U55" s="6">
        <v>9.55013167531511E-2</v>
      </c>
    </row>
    <row r="56" spans="1:21" x14ac:dyDescent="0.35">
      <c r="A56">
        <v>53</v>
      </c>
      <c r="B56">
        <v>107</v>
      </c>
      <c r="D56" s="4">
        <v>0</v>
      </c>
      <c r="E56" s="4">
        <v>0</v>
      </c>
      <c r="F56" s="4">
        <f t="shared" si="12"/>
        <v>248607.00906860642</v>
      </c>
      <c r="G56" s="4">
        <f t="shared" si="13"/>
        <v>5220747.1904407348</v>
      </c>
      <c r="H56">
        <f t="shared" si="14"/>
        <v>-66</v>
      </c>
      <c r="I56" s="4">
        <f t="shared" si="0"/>
        <v>0</v>
      </c>
      <c r="J56" s="4">
        <f t="shared" si="4"/>
        <v>812280.74332485162</v>
      </c>
      <c r="K56" s="4">
        <f t="shared" si="1"/>
        <v>5784420.92469698</v>
      </c>
      <c r="L56" s="4">
        <f t="shared" si="5"/>
        <v>4061.4037166242583</v>
      </c>
      <c r="M56" s="4">
        <f t="shared" si="6"/>
        <v>48736.844599491094</v>
      </c>
      <c r="N56" s="4">
        <f t="shared" si="10"/>
        <v>24860.700906860642</v>
      </c>
      <c r="O56" s="4">
        <f t="shared" si="7"/>
        <v>273467.70997546706</v>
      </c>
      <c r="P56" s="4">
        <f t="shared" si="2"/>
        <v>6135547.5838954234</v>
      </c>
      <c r="Q56" s="4">
        <f t="shared" si="3"/>
        <v>914800.3934546886</v>
      </c>
      <c r="R56" s="8">
        <f t="shared" si="8"/>
        <v>5.0000000000000001E-3</v>
      </c>
      <c r="S56" s="6">
        <f t="shared" si="9"/>
        <v>0.01</v>
      </c>
      <c r="U56" s="6">
        <v>9.5899877858561799E-2</v>
      </c>
    </row>
    <row r="57" spans="1:21" x14ac:dyDescent="0.35">
      <c r="A57">
        <v>54</v>
      </c>
      <c r="B57">
        <v>108</v>
      </c>
      <c r="D57" s="4">
        <v>0</v>
      </c>
      <c r="E57" s="4">
        <v>0</v>
      </c>
      <c r="F57" s="4">
        <f t="shared" si="12"/>
        <v>261037.35952203674</v>
      </c>
      <c r="G57" s="4">
        <f t="shared" si="13"/>
        <v>5481784.5499627721</v>
      </c>
      <c r="H57">
        <f t="shared" si="14"/>
        <v>-66</v>
      </c>
      <c r="I57" s="4">
        <f t="shared" si="0"/>
        <v>0</v>
      </c>
      <c r="J57" s="4">
        <f t="shared" si="4"/>
        <v>914734.3934546886</v>
      </c>
      <c r="K57" s="4">
        <f t="shared" si="1"/>
        <v>6135481.5838954234</v>
      </c>
      <c r="L57" s="4">
        <f t="shared" si="5"/>
        <v>4573.6719672734407</v>
      </c>
      <c r="M57" s="4">
        <f t="shared" si="6"/>
        <v>54884.063607281314</v>
      </c>
      <c r="N57" s="4">
        <f t="shared" si="10"/>
        <v>26103.735952203675</v>
      </c>
      <c r="O57" s="4">
        <f t="shared" si="7"/>
        <v>287141.09547424043</v>
      </c>
      <c r="P57" s="4">
        <f t="shared" si="2"/>
        <v>6508184.1508964226</v>
      </c>
      <c r="Q57" s="4">
        <f t="shared" si="3"/>
        <v>1026399.6009336505</v>
      </c>
      <c r="R57" s="8">
        <f t="shared" si="8"/>
        <v>5.0000000000000018E-3</v>
      </c>
      <c r="S57" s="6">
        <f t="shared" si="9"/>
        <v>1.0000000000000004E-2</v>
      </c>
      <c r="U57" s="6">
        <v>9.6268131328570483E-2</v>
      </c>
    </row>
    <row r="58" spans="1:21" x14ac:dyDescent="0.35">
      <c r="A58">
        <v>55</v>
      </c>
      <c r="B58">
        <v>109</v>
      </c>
      <c r="D58" s="4">
        <v>0</v>
      </c>
      <c r="E58" s="4">
        <v>0</v>
      </c>
      <c r="F58" s="4">
        <f t="shared" si="12"/>
        <v>274089.22749813861</v>
      </c>
      <c r="G58" s="4">
        <f t="shared" si="13"/>
        <v>5755873.7774609104</v>
      </c>
      <c r="H58">
        <f t="shared" si="14"/>
        <v>-66</v>
      </c>
      <c r="I58" s="4">
        <f t="shared" si="0"/>
        <v>0</v>
      </c>
      <c r="J58" s="4">
        <f t="shared" si="4"/>
        <v>1026333.6009336505</v>
      </c>
      <c r="K58" s="4">
        <f t="shared" si="1"/>
        <v>6508118.1508964226</v>
      </c>
      <c r="L58" s="4">
        <f t="shared" si="5"/>
        <v>5131.6680046682541</v>
      </c>
      <c r="M58" s="4">
        <f t="shared" si="6"/>
        <v>61580.016056019027</v>
      </c>
      <c r="N58" s="4">
        <f t="shared" si="10"/>
        <v>27408.922749813861</v>
      </c>
      <c r="O58" s="4">
        <f t="shared" si="7"/>
        <v>301498.15024795249</v>
      </c>
      <c r="P58" s="4">
        <f t="shared" si="2"/>
        <v>6903736.9079548763</v>
      </c>
      <c r="Q58" s="4">
        <f t="shared" si="3"/>
        <v>1147863.1304939659</v>
      </c>
      <c r="R58" s="8">
        <f t="shared" si="8"/>
        <v>5.0000000000000036E-3</v>
      </c>
      <c r="S58" s="6">
        <f t="shared" si="9"/>
        <v>1.0000000000000007E-2</v>
      </c>
      <c r="U58" s="6">
        <v>9.6608578310498405E-2</v>
      </c>
    </row>
    <row r="59" spans="1:21" x14ac:dyDescent="0.35">
      <c r="A59">
        <v>56</v>
      </c>
      <c r="B59">
        <v>110</v>
      </c>
      <c r="D59" s="4">
        <v>0</v>
      </c>
      <c r="E59" s="4">
        <v>0</v>
      </c>
      <c r="F59" s="4">
        <f t="shared" si="12"/>
        <v>287793.68887304555</v>
      </c>
      <c r="G59" s="4">
        <f t="shared" si="13"/>
        <v>6043667.4663339555</v>
      </c>
      <c r="H59">
        <f t="shared" si="14"/>
        <v>-66</v>
      </c>
      <c r="I59" s="4">
        <f t="shared" si="0"/>
        <v>0</v>
      </c>
      <c r="J59" s="4">
        <f t="shared" si="4"/>
        <v>1147797.1304939659</v>
      </c>
      <c r="K59" s="4">
        <f t="shared" si="1"/>
        <v>6903670.9079548763</v>
      </c>
      <c r="L59" s="4">
        <f t="shared" si="5"/>
        <v>5738.9856524698325</v>
      </c>
      <c r="M59" s="4">
        <f t="shared" si="6"/>
        <v>68867.827829637958</v>
      </c>
      <c r="N59" s="4">
        <f t="shared" si="10"/>
        <v>28779.368887304554</v>
      </c>
      <c r="O59" s="4">
        <f t="shared" si="7"/>
        <v>316573.05776035006</v>
      </c>
      <c r="P59" s="4">
        <f t="shared" si="2"/>
        <v>7323630.1480846386</v>
      </c>
      <c r="Q59" s="4">
        <f t="shared" si="3"/>
        <v>1279962.6817506831</v>
      </c>
      <c r="R59" s="8">
        <f t="shared" si="8"/>
        <v>4.9999999999999914E-3</v>
      </c>
      <c r="S59" s="6">
        <f t="shared" si="9"/>
        <v>9.9999999999999933E-3</v>
      </c>
      <c r="U59" s="6">
        <v>9.6923486178266405E-2</v>
      </c>
    </row>
    <row r="60" spans="1:21" x14ac:dyDescent="0.35">
      <c r="A60">
        <v>57</v>
      </c>
      <c r="B60">
        <v>111</v>
      </c>
      <c r="D60" s="4">
        <v>0</v>
      </c>
      <c r="E60" s="4">
        <v>0</v>
      </c>
      <c r="F60" s="4">
        <f t="shared" si="12"/>
        <v>302183.37331669778</v>
      </c>
      <c r="G60" s="4">
        <f t="shared" si="13"/>
        <v>6345850.8396506533</v>
      </c>
      <c r="H60">
        <f t="shared" si="14"/>
        <v>-66</v>
      </c>
      <c r="I60" s="4">
        <f t="shared" si="0"/>
        <v>0</v>
      </c>
      <c r="J60" s="4">
        <f t="shared" si="4"/>
        <v>1279896.6817506831</v>
      </c>
      <c r="K60" s="4">
        <f t="shared" si="1"/>
        <v>7323564.1480846386</v>
      </c>
      <c r="L60" s="4">
        <f t="shared" si="5"/>
        <v>6399.4834087534155</v>
      </c>
      <c r="M60" s="4">
        <f t="shared" si="6"/>
        <v>76793.800905040989</v>
      </c>
      <c r="N60" s="4">
        <f t="shared" si="10"/>
        <v>30218.33733166978</v>
      </c>
      <c r="O60" s="4">
        <f t="shared" si="7"/>
        <v>332401.71064836753</v>
      </c>
      <c r="P60" s="4">
        <f t="shared" si="2"/>
        <v>7769377.4803784704</v>
      </c>
      <c r="Q60" s="4">
        <f t="shared" si="3"/>
        <v>1423526.6407278171</v>
      </c>
      <c r="R60" s="8">
        <f t="shared" si="8"/>
        <v>4.9999999999999958E-3</v>
      </c>
      <c r="S60" s="6">
        <f t="shared" si="9"/>
        <v>9.9999999999999915E-3</v>
      </c>
      <c r="U60" s="6">
        <v>9.7214913191631558E-2</v>
      </c>
    </row>
    <row r="61" spans="1:21" x14ac:dyDescent="0.35">
      <c r="A61">
        <v>58</v>
      </c>
      <c r="B61">
        <v>112</v>
      </c>
      <c r="D61" s="4">
        <v>0</v>
      </c>
      <c r="E61" s="4">
        <v>0</v>
      </c>
      <c r="F61" s="4">
        <f t="shared" si="12"/>
        <v>317292.54198253271</v>
      </c>
      <c r="G61" s="4">
        <f t="shared" si="13"/>
        <v>6663143.3816331858</v>
      </c>
      <c r="H61">
        <f t="shared" si="14"/>
        <v>-66</v>
      </c>
      <c r="I61" s="4">
        <f t="shared" si="0"/>
        <v>0</v>
      </c>
      <c r="J61" s="4">
        <f t="shared" si="4"/>
        <v>1423460.6407278171</v>
      </c>
      <c r="K61" s="4">
        <f t="shared" si="1"/>
        <v>7769311.4803784704</v>
      </c>
      <c r="L61" s="4">
        <f t="shared" si="5"/>
        <v>7117.3032036390869</v>
      </c>
      <c r="M61" s="4">
        <f t="shared" si="6"/>
        <v>85407.638443669028</v>
      </c>
      <c r="N61" s="4">
        <f t="shared" si="10"/>
        <v>31729.254198253268</v>
      </c>
      <c r="O61" s="4">
        <f t="shared" si="7"/>
        <v>349021.79618078592</v>
      </c>
      <c r="P61" s="4">
        <f t="shared" si="2"/>
        <v>8242587.4724048171</v>
      </c>
      <c r="Q61" s="4">
        <f t="shared" si="3"/>
        <v>1579444.0907716313</v>
      </c>
      <c r="R61" s="8">
        <f t="shared" si="8"/>
        <v>4.9999999999999914E-3</v>
      </c>
      <c r="S61" s="6">
        <f t="shared" si="9"/>
        <v>9.9999999999999915E-3</v>
      </c>
      <c r="U61" s="6">
        <v>9.7484730293815769E-2</v>
      </c>
    </row>
    <row r="62" spans="1:21" x14ac:dyDescent="0.35">
      <c r="A62">
        <v>59</v>
      </c>
      <c r="B62">
        <v>113</v>
      </c>
      <c r="D62" s="4">
        <v>0</v>
      </c>
      <c r="E62" s="4">
        <v>0</v>
      </c>
      <c r="F62" s="4">
        <f t="shared" si="12"/>
        <v>333157.16908165929</v>
      </c>
      <c r="G62" s="4">
        <f t="shared" si="13"/>
        <v>6996300.5507148448</v>
      </c>
      <c r="H62">
        <f t="shared" si="14"/>
        <v>-66</v>
      </c>
      <c r="I62" s="4">
        <f t="shared" si="0"/>
        <v>0</v>
      </c>
      <c r="J62" s="4">
        <f t="shared" si="4"/>
        <v>1579378.0907716313</v>
      </c>
      <c r="K62" s="4">
        <f t="shared" si="1"/>
        <v>8242521.4724048171</v>
      </c>
      <c r="L62" s="4">
        <f t="shared" si="5"/>
        <v>7896.8904538581583</v>
      </c>
      <c r="M62" s="4">
        <f t="shared" si="6"/>
        <v>94762.685446297881</v>
      </c>
      <c r="N62" s="4">
        <f t="shared" si="10"/>
        <v>33315.71690816593</v>
      </c>
      <c r="O62" s="4">
        <f t="shared" si="7"/>
        <v>366472.88598982524</v>
      </c>
      <c r="P62" s="4">
        <f t="shared" si="2"/>
        <v>8744969.6512029637</v>
      </c>
      <c r="Q62" s="4">
        <f t="shared" si="3"/>
        <v>1748669.1004881188</v>
      </c>
      <c r="R62" s="8">
        <f t="shared" si="8"/>
        <v>5.0000000000000036E-3</v>
      </c>
      <c r="S62" s="6">
        <f t="shared" si="9"/>
        <v>1.0000000000000007E-2</v>
      </c>
      <c r="U62" s="6">
        <v>9.7734640397543426E-2</v>
      </c>
    </row>
    <row r="63" spans="1:21" x14ac:dyDescent="0.35">
      <c r="A63">
        <v>60</v>
      </c>
      <c r="B63">
        <v>114</v>
      </c>
      <c r="D63" s="4">
        <v>0</v>
      </c>
      <c r="E63" s="4">
        <v>0</v>
      </c>
      <c r="F63" s="4">
        <f t="shared" si="12"/>
        <v>349815.02753574227</v>
      </c>
      <c r="G63" s="4">
        <f t="shared" si="13"/>
        <v>7346115.578250587</v>
      </c>
      <c r="H63">
        <f t="shared" si="14"/>
        <v>-66</v>
      </c>
      <c r="I63" s="4">
        <f t="shared" si="0"/>
        <v>0</v>
      </c>
      <c r="J63" s="4">
        <f t="shared" si="4"/>
        <v>1748603.1004881188</v>
      </c>
      <c r="K63" s="4">
        <f t="shared" si="1"/>
        <v>8744903.6512029637</v>
      </c>
      <c r="L63" s="4">
        <f t="shared" si="5"/>
        <v>8743.015502440594</v>
      </c>
      <c r="M63" s="4">
        <f t="shared" si="6"/>
        <v>104916.18602928713</v>
      </c>
      <c r="N63" s="4">
        <f t="shared" si="10"/>
        <v>34981.502753574227</v>
      </c>
      <c r="O63" s="4">
        <f t="shared" si="7"/>
        <v>384796.53028931649</v>
      </c>
      <c r="P63" s="4">
        <f t="shared" si="2"/>
        <v>9278340.8857775815</v>
      </c>
      <c r="Q63" s="4">
        <f t="shared" si="3"/>
        <v>1932225.3075269945</v>
      </c>
      <c r="R63" s="8">
        <f t="shared" si="8"/>
        <v>5.0000000000000001E-3</v>
      </c>
      <c r="S63" s="6">
        <f t="shared" si="9"/>
        <v>0.01</v>
      </c>
      <c r="U63" s="6">
        <v>9.7966195471013373E-2</v>
      </c>
    </row>
    <row r="64" spans="1:21" x14ac:dyDescent="0.35">
      <c r="A64">
        <v>61</v>
      </c>
      <c r="B64">
        <v>115</v>
      </c>
      <c r="D64" s="4">
        <v>0</v>
      </c>
      <c r="E64" s="4">
        <v>0</v>
      </c>
      <c r="F64" s="4">
        <f t="shared" si="12"/>
        <v>367305.77891252935</v>
      </c>
      <c r="G64" s="4">
        <f t="shared" si="13"/>
        <v>7713421.3571631163</v>
      </c>
      <c r="H64">
        <f t="shared" si="14"/>
        <v>-66</v>
      </c>
      <c r="I64" s="4">
        <f t="shared" si="0"/>
        <v>0</v>
      </c>
      <c r="J64" s="4">
        <f t="shared" si="4"/>
        <v>1932159.3075269945</v>
      </c>
      <c r="K64" s="4">
        <f t="shared" si="1"/>
        <v>9278274.8857775815</v>
      </c>
      <c r="L64" s="4">
        <f t="shared" si="5"/>
        <v>9660.796537634973</v>
      </c>
      <c r="M64" s="4">
        <f t="shared" si="6"/>
        <v>115929.55845161967</v>
      </c>
      <c r="N64" s="4">
        <f t="shared" si="10"/>
        <v>36730.577891252935</v>
      </c>
      <c r="O64" s="4">
        <f t="shared" si="7"/>
        <v>404036.35680378228</v>
      </c>
      <c r="P64" s="4">
        <f t="shared" si="2"/>
        <v>9844632.1754618715</v>
      </c>
      <c r="Q64" s="4">
        <f t="shared" si="3"/>
        <v>2131210.8182987552</v>
      </c>
      <c r="R64" s="8">
        <f t="shared" si="8"/>
        <v>5.0000000000000001E-3</v>
      </c>
      <c r="S64" s="6">
        <f t="shared" si="9"/>
        <v>0.01</v>
      </c>
      <c r="U64" s="6">
        <v>9.8180811693044268E-2</v>
      </c>
    </row>
    <row r="65" spans="1:89" x14ac:dyDescent="0.35">
      <c r="A65">
        <v>62</v>
      </c>
      <c r="B65">
        <v>116</v>
      </c>
      <c r="D65" s="4">
        <v>0</v>
      </c>
      <c r="E65" s="4">
        <v>0</v>
      </c>
      <c r="F65" s="4">
        <f t="shared" si="12"/>
        <v>385671.06785815582</v>
      </c>
      <c r="G65" s="4">
        <f t="shared" si="13"/>
        <v>8099092.4250212722</v>
      </c>
      <c r="H65">
        <f t="shared" si="14"/>
        <v>-66</v>
      </c>
      <c r="I65" s="4">
        <f t="shared" si="0"/>
        <v>0</v>
      </c>
      <c r="J65" s="4">
        <f t="shared" si="4"/>
        <v>2131144.8182987552</v>
      </c>
      <c r="K65" s="4">
        <f t="shared" si="1"/>
        <v>9844566.1754618715</v>
      </c>
      <c r="L65" s="4">
        <f t="shared" si="5"/>
        <v>10655.724091493776</v>
      </c>
      <c r="M65" s="4">
        <f t="shared" si="6"/>
        <v>127868.68909792531</v>
      </c>
      <c r="N65" s="4">
        <f t="shared" si="10"/>
        <v>38567.10678581558</v>
      </c>
      <c r="O65" s="4">
        <f t="shared" si="7"/>
        <v>424238.17464397138</v>
      </c>
      <c r="P65" s="4">
        <f t="shared" si="2"/>
        <v>10445895.870081078</v>
      </c>
      <c r="Q65" s="4">
        <f t="shared" si="3"/>
        <v>2346803.4450598061</v>
      </c>
      <c r="R65" s="8">
        <f t="shared" si="8"/>
        <v>4.9999999999999966E-3</v>
      </c>
      <c r="S65" s="6">
        <f t="shared" si="9"/>
        <v>9.9999999999999933E-3</v>
      </c>
      <c r="U65" s="6">
        <v>9.8379782914130187E-2</v>
      </c>
    </row>
    <row r="66" spans="1:89" x14ac:dyDescent="0.35">
      <c r="A66">
        <v>63</v>
      </c>
      <c r="B66">
        <v>117</v>
      </c>
      <c r="D66" s="4">
        <v>0</v>
      </c>
      <c r="E66" s="4">
        <v>0</v>
      </c>
      <c r="F66" s="4">
        <f t="shared" si="12"/>
        <v>404954.62125106365</v>
      </c>
      <c r="G66" s="4">
        <f t="shared" si="13"/>
        <v>8504047.0462723356</v>
      </c>
      <c r="H66">
        <f t="shared" si="14"/>
        <v>-66</v>
      </c>
      <c r="I66" s="4">
        <f t="shared" si="0"/>
        <v>0</v>
      </c>
      <c r="J66" s="4">
        <f t="shared" si="4"/>
        <v>2346737.4450598061</v>
      </c>
      <c r="K66" s="4">
        <f t="shared" si="1"/>
        <v>10445829.870081078</v>
      </c>
      <c r="L66" s="4">
        <f t="shared" si="5"/>
        <v>11733.687225299031</v>
      </c>
      <c r="M66" s="4">
        <f t="shared" si="6"/>
        <v>140804.24670358837</v>
      </c>
      <c r="N66" s="4">
        <f t="shared" si="10"/>
        <v>40495.462125106358</v>
      </c>
      <c r="O66" s="4">
        <f t="shared" si="7"/>
        <v>445450.08337616996</v>
      </c>
      <c r="P66" s="4">
        <f t="shared" si="2"/>
        <v>11084313.34951124</v>
      </c>
      <c r="Q66" s="4">
        <f t="shared" si="3"/>
        <v>2580266.3032389041</v>
      </c>
      <c r="R66" s="8">
        <f t="shared" si="8"/>
        <v>4.9999999999999932E-3</v>
      </c>
      <c r="S66" s="6">
        <f t="shared" si="9"/>
        <v>9.9999999999999933E-3</v>
      </c>
      <c r="U66" s="6">
        <v>9.856429262821087E-2</v>
      </c>
    </row>
    <row r="67" spans="1:89" x14ac:dyDescent="0.35">
      <c r="A67">
        <v>64</v>
      </c>
      <c r="B67">
        <v>118</v>
      </c>
      <c r="D67" s="4">
        <v>0</v>
      </c>
      <c r="E67" s="4">
        <v>0</v>
      </c>
      <c r="F67" s="4">
        <f t="shared" si="12"/>
        <v>425202.35231361678</v>
      </c>
      <c r="G67" s="4">
        <f t="shared" si="13"/>
        <v>8929249.3985859528</v>
      </c>
      <c r="H67">
        <f t="shared" si="14"/>
        <v>-66</v>
      </c>
      <c r="I67" s="4">
        <f t="shared" si="0"/>
        <v>0</v>
      </c>
      <c r="J67" s="4">
        <f t="shared" si="4"/>
        <v>2580200.3032389041</v>
      </c>
      <c r="K67" s="4">
        <f t="shared" si="1"/>
        <v>11084247.34951124</v>
      </c>
      <c r="L67" s="4">
        <f t="shared" si="5"/>
        <v>12901.001516194519</v>
      </c>
      <c r="M67" s="4">
        <f t="shared" si="6"/>
        <v>154812.01819433423</v>
      </c>
      <c r="N67" s="4">
        <f t="shared" si="10"/>
        <v>42520.235231361679</v>
      </c>
      <c r="O67" s="4">
        <f t="shared" si="7"/>
        <v>467722.58754497848</v>
      </c>
      <c r="P67" s="4">
        <f t="shared" si="2"/>
        <v>11762203.191998109</v>
      </c>
      <c r="Q67" s="4">
        <f t="shared" si="3"/>
        <v>2832953.7934121564</v>
      </c>
      <c r="R67" s="8">
        <f t="shared" si="8"/>
        <v>5.0000000000000027E-3</v>
      </c>
      <c r="S67" s="6">
        <f t="shared" si="9"/>
        <v>1.0000000000000005E-2</v>
      </c>
      <c r="U67" s="6">
        <v>9.8735424635901792E-2</v>
      </c>
    </row>
    <row r="68" spans="1:89" x14ac:dyDescent="0.35">
      <c r="A68">
        <v>65</v>
      </c>
      <c r="B68">
        <v>119</v>
      </c>
      <c r="D68" s="4">
        <v>0</v>
      </c>
      <c r="E68" s="4">
        <v>0</v>
      </c>
      <c r="F68" s="4">
        <f t="shared" si="12"/>
        <v>446462.46992929769</v>
      </c>
      <c r="G68" s="4">
        <f t="shared" si="13"/>
        <v>9375711.8685152512</v>
      </c>
      <c r="H68">
        <f t="shared" si="14"/>
        <v>-66</v>
      </c>
      <c r="I68" s="4">
        <f t="shared" si="0"/>
        <v>0</v>
      </c>
      <c r="J68" s="4">
        <f t="shared" si="4"/>
        <v>2832887.7934121564</v>
      </c>
      <c r="K68" s="4">
        <f t="shared" si="1"/>
        <v>11762137.191998109</v>
      </c>
      <c r="L68" s="4">
        <f t="shared" si="5"/>
        <v>14164.438967060778</v>
      </c>
      <c r="M68" s="4">
        <f t="shared" si="6"/>
        <v>169973.26760472936</v>
      </c>
      <c r="N68" s="4">
        <f t="shared" si="10"/>
        <v>44646.246992929766</v>
      </c>
      <c r="O68" s="4">
        <f t="shared" si="7"/>
        <v>491108.71692222741</v>
      </c>
      <c r="P68" s="4">
        <f t="shared" si="2"/>
        <v>12482029.862485055</v>
      </c>
      <c r="Q68" s="4">
        <f t="shared" si="3"/>
        <v>3106317.9939698037</v>
      </c>
      <c r="R68" s="8">
        <f t="shared" si="8"/>
        <v>4.9999999999999949E-3</v>
      </c>
      <c r="S68" s="6">
        <f t="shared" si="9"/>
        <v>9.9999999999999898E-3</v>
      </c>
      <c r="U68" s="6">
        <v>9.8894172554376159E-2</v>
      </c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</row>
    <row r="69" spans="1:89" x14ac:dyDescent="0.35">
      <c r="A69">
        <v>66</v>
      </c>
      <c r="B69">
        <v>120</v>
      </c>
      <c r="D69" s="4">
        <v>0</v>
      </c>
      <c r="E69" s="4">
        <v>0</v>
      </c>
      <c r="F69" s="4">
        <f t="shared" si="12"/>
        <v>468785.59342576261</v>
      </c>
      <c r="G69" s="4">
        <f t="shared" si="13"/>
        <v>9844497.4619410131</v>
      </c>
      <c r="H69">
        <f t="shared" si="14"/>
        <v>-66</v>
      </c>
      <c r="I69" s="4">
        <f t="shared" ref="I69" si="15">-(D69+P68)*$I$2</f>
        <v>0</v>
      </c>
      <c r="J69" s="4">
        <f t="shared" si="4"/>
        <v>3106251.9939698037</v>
      </c>
      <c r="K69" s="4">
        <f t="shared" ref="K69" si="16">D69+H69+I69+P68</f>
        <v>12481963.862485055</v>
      </c>
      <c r="L69" s="4">
        <f t="shared" si="5"/>
        <v>15531.259969849023</v>
      </c>
      <c r="M69" s="4">
        <f t="shared" si="6"/>
        <v>186375.11963818822</v>
      </c>
      <c r="N69" s="4">
        <f t="shared" si="10"/>
        <v>46878.559342576256</v>
      </c>
      <c r="O69" s="4">
        <f t="shared" si="7"/>
        <v>515664.1527683388</v>
      </c>
      <c r="P69" s="4">
        <f t="shared" ref="P69" si="17">K69+L69+M69+O69+N69</f>
        <v>13246412.954204006</v>
      </c>
      <c r="Q69" s="4">
        <f t="shared" ref="Q69" si="18">P69-G69</f>
        <v>3401915.492262993</v>
      </c>
      <c r="R69" s="8">
        <f t="shared" si="8"/>
        <v>4.9999999999999932E-3</v>
      </c>
      <c r="S69" s="6">
        <f t="shared" si="9"/>
        <v>9.9999999999999985E-3</v>
      </c>
      <c r="U69" s="6">
        <v>9.9041448311026237E-2</v>
      </c>
      <c r="V69" s="10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9"/>
      <c r="BO69" s="9"/>
      <c r="BP69" s="9"/>
      <c r="BQ69" s="9"/>
      <c r="BR69" s="9"/>
      <c r="BS69" s="9"/>
      <c r="BT69" s="9"/>
      <c r="BU69" s="9"/>
      <c r="BV69" s="9"/>
      <c r="BW69" s="9"/>
      <c r="BX69" s="9"/>
      <c r="BY69" s="9"/>
      <c r="BZ69" s="9"/>
      <c r="CA69" s="9"/>
      <c r="CB69" s="9"/>
      <c r="CC69" s="9"/>
      <c r="CD69" s="9"/>
      <c r="CE69" s="9"/>
      <c r="CF69" s="9"/>
      <c r="CG69" s="9"/>
      <c r="CH69" s="9"/>
      <c r="CI69" s="9"/>
      <c r="CJ69" s="9"/>
      <c r="CK69" s="9"/>
    </row>
    <row r="70" spans="1:89" x14ac:dyDescent="0.35">
      <c r="U70" s="6">
        <v>-1</v>
      </c>
    </row>
    <row r="71" spans="1:89" x14ac:dyDescent="0.35">
      <c r="J71" s="4">
        <f>IF(MIN(J4:J69)&lt;0,1,0)</f>
        <v>0</v>
      </c>
      <c r="Q71" s="4">
        <f>IF(MIN(Q4:Q69)&lt;0,1,0)</f>
        <v>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Summary</vt:lpstr>
      <vt:lpstr>SummaryChart</vt:lpstr>
      <vt:lpstr>Policy with NO Fixed bonus</vt:lpstr>
      <vt:lpstr>0.5% fixed bonus Loan Option #1</vt:lpstr>
      <vt:lpstr>0.5% fixed bonus Loan Option #2</vt:lpstr>
      <vt:lpstr>0.5% fixed bonus Loan Option #3</vt:lpstr>
    </vt:vector>
  </TitlesOfParts>
  <Company>Securian Financial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ID150</dc:creator>
  <cp:lastModifiedBy>Donato, Gayle L</cp:lastModifiedBy>
  <dcterms:created xsi:type="dcterms:W3CDTF">2020-06-08T14:56:22Z</dcterms:created>
  <dcterms:modified xsi:type="dcterms:W3CDTF">2020-06-11T12:48:00Z</dcterms:modified>
</cp:coreProperties>
</file>