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5" yWindow="-105" windowWidth="23250" windowHeight="12570" tabRatio="692" firstSheet="7" activeTab="9"/>
  </bookViews>
  <sheets>
    <sheet name="DISCLAIMER" sheetId="36" r:id="rId1"/>
    <sheet name="Relativistic Method - Example 1" sheetId="25" r:id="rId2"/>
    <sheet name="Relativistic Method - Example 2" sheetId="26" r:id="rId3"/>
    <sheet name="Relativistic Method - Example 3" sheetId="35" r:id="rId4"/>
    <sheet name="Relativistic Method - Example 4" sheetId="30" r:id="rId5"/>
    <sheet name="Weighting Method - Example 5" sheetId="18" r:id="rId6"/>
    <sheet name="Weighting Method - Example 6" sheetId="27" r:id="rId7"/>
    <sheet name="Weighting Method - Example  7" sheetId="33" r:id="rId8"/>
    <sheet name="Comparisons" sheetId="24" r:id="rId9"/>
    <sheet name="TwoStep Method - Example 8" sheetId="37" r:id="rId10"/>
    <sheet name="TwoStep Method - Example 9" sheetId="41" r:id="rId1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1" i="41" l="1"/>
  <c r="Q60" i="41"/>
  <c r="Q59" i="41"/>
  <c r="Q58" i="41"/>
  <c r="Q57" i="41"/>
  <c r="Q56" i="41"/>
  <c r="Q55" i="41"/>
  <c r="Q54" i="41"/>
  <c r="Q53" i="41"/>
  <c r="Q52" i="41"/>
  <c r="Q51" i="41"/>
  <c r="Q50" i="41"/>
  <c r="Q49" i="41"/>
  <c r="Q48" i="41"/>
  <c r="Q47" i="41"/>
  <c r="Q46" i="41"/>
  <c r="Q45" i="41"/>
  <c r="Q44" i="41"/>
  <c r="Q43" i="41"/>
  <c r="Q42" i="41"/>
  <c r="Q41" i="41"/>
  <c r="Q40" i="41"/>
  <c r="Q39" i="41"/>
  <c r="Q38" i="41"/>
  <c r="Q37" i="41"/>
  <c r="M61" i="41"/>
  <c r="P60" i="37"/>
  <c r="P58" i="37"/>
  <c r="P56" i="37"/>
  <c r="P54" i="37"/>
  <c r="P52" i="37"/>
  <c r="P50" i="37"/>
  <c r="P48" i="37"/>
  <c r="P46" i="37"/>
  <c r="P44" i="37"/>
  <c r="P42" i="37"/>
  <c r="P40" i="37"/>
  <c r="P38" i="37"/>
  <c r="T60" i="41"/>
  <c r="T59" i="41"/>
  <c r="T58" i="41"/>
  <c r="T57" i="41"/>
  <c r="T56" i="41"/>
  <c r="T55" i="41"/>
  <c r="T54" i="41"/>
  <c r="T53" i="41"/>
  <c r="T52" i="41"/>
  <c r="T51" i="41"/>
  <c r="T50" i="41"/>
  <c r="T49" i="41"/>
  <c r="T48" i="41"/>
  <c r="T47" i="41"/>
  <c r="T46" i="41"/>
  <c r="T45" i="41"/>
  <c r="T44" i="41"/>
  <c r="T43" i="41"/>
  <c r="T42" i="41"/>
  <c r="T41" i="41"/>
  <c r="T40" i="41"/>
  <c r="T39" i="41"/>
  <c r="T38" i="41"/>
  <c r="T37" i="41"/>
  <c r="S83" i="37" l="1"/>
  <c r="F61" i="41"/>
  <c r="E61" i="41"/>
  <c r="G60" i="41"/>
  <c r="G59" i="41"/>
  <c r="G58" i="41"/>
  <c r="G57" i="41"/>
  <c r="G56" i="41"/>
  <c r="G55" i="41"/>
  <c r="G54" i="41"/>
  <c r="G53" i="41"/>
  <c r="G52" i="41"/>
  <c r="G51" i="41"/>
  <c r="G50" i="41"/>
  <c r="G49" i="41"/>
  <c r="G48" i="41"/>
  <c r="G47" i="41"/>
  <c r="G46" i="41"/>
  <c r="G45" i="41"/>
  <c r="G44" i="41"/>
  <c r="G43" i="41"/>
  <c r="G42" i="41"/>
  <c r="G41" i="41"/>
  <c r="G40" i="41"/>
  <c r="G39" i="41"/>
  <c r="G38" i="41"/>
  <c r="G37" i="41"/>
  <c r="D84" i="41"/>
  <c r="K83" i="41"/>
  <c r="E83" i="41"/>
  <c r="K82" i="41"/>
  <c r="E82" i="41"/>
  <c r="K81" i="41"/>
  <c r="E81" i="41"/>
  <c r="K80" i="41"/>
  <c r="E80" i="41"/>
  <c r="K79" i="41"/>
  <c r="E79" i="41"/>
  <c r="K78" i="41"/>
  <c r="E78" i="41"/>
  <c r="K77" i="41"/>
  <c r="E77" i="41"/>
  <c r="K76" i="41"/>
  <c r="E76" i="41"/>
  <c r="K75" i="41"/>
  <c r="E75" i="41"/>
  <c r="K74" i="41"/>
  <c r="E74" i="41"/>
  <c r="K73" i="41"/>
  <c r="E73" i="41"/>
  <c r="K72" i="41"/>
  <c r="E72" i="41"/>
  <c r="G61" i="41" l="1"/>
  <c r="F81" i="41"/>
  <c r="I81" i="41" s="1"/>
  <c r="F73" i="41"/>
  <c r="I73" i="41" s="1"/>
  <c r="F78" i="41"/>
  <c r="I78" i="41" s="1"/>
  <c r="F77" i="41"/>
  <c r="I77" i="41" s="1"/>
  <c r="F82" i="41"/>
  <c r="I82" i="41" s="1"/>
  <c r="F75" i="41"/>
  <c r="I75" i="41" s="1"/>
  <c r="F83" i="41"/>
  <c r="I83" i="41" s="1"/>
  <c r="F74" i="41"/>
  <c r="I74" i="41" s="1"/>
  <c r="F79" i="41"/>
  <c r="I79" i="41" s="1"/>
  <c r="F76" i="41"/>
  <c r="I76" i="41" s="1"/>
  <c r="F80" i="41"/>
  <c r="I80" i="41" s="1"/>
  <c r="E84" i="41"/>
  <c r="F72" i="41"/>
  <c r="I72" i="41" s="1"/>
  <c r="F84" i="41" l="1"/>
  <c r="M73" i="41" s="1"/>
  <c r="O73" i="41" s="1"/>
  <c r="P73" i="41" s="1"/>
  <c r="M72" i="41" l="1"/>
  <c r="O72" i="41" s="1"/>
  <c r="P72" i="41" s="1"/>
  <c r="M78" i="41"/>
  <c r="O78" i="41" s="1"/>
  <c r="P78" i="41" s="1"/>
  <c r="M81" i="41"/>
  <c r="O81" i="41" s="1"/>
  <c r="M83" i="41"/>
  <c r="O83" i="41" s="1"/>
  <c r="P83" i="41" s="1"/>
  <c r="M77" i="41"/>
  <c r="O77" i="41" s="1"/>
  <c r="M82" i="41"/>
  <c r="O82" i="41" s="1"/>
  <c r="P82" i="41" s="1"/>
  <c r="M79" i="41"/>
  <c r="O79" i="41" s="1"/>
  <c r="P79" i="41" s="1"/>
  <c r="M75" i="41"/>
  <c r="O75" i="41" s="1"/>
  <c r="P75" i="41" s="1"/>
  <c r="M80" i="41"/>
  <c r="O80" i="41" s="1"/>
  <c r="P80" i="41" s="1"/>
  <c r="M76" i="41"/>
  <c r="O76" i="41" s="1"/>
  <c r="P76" i="41" s="1"/>
  <c r="M74" i="41"/>
  <c r="O74" i="41" s="1"/>
  <c r="P74" i="41"/>
  <c r="P77" i="41"/>
  <c r="P81" i="41"/>
  <c r="P84" i="41" l="1"/>
  <c r="Q74" i="41" s="1"/>
  <c r="R74" i="41" s="1"/>
  <c r="S74" i="41" l="1"/>
  <c r="I42" i="41"/>
  <c r="L42" i="41" s="1"/>
  <c r="M42" i="41" s="1"/>
  <c r="N41" i="41" s="1"/>
  <c r="O41" i="41" s="1"/>
  <c r="S41" i="41" s="1"/>
  <c r="I41" i="41"/>
  <c r="L41" i="41" s="1"/>
  <c r="M41" i="41" s="1"/>
  <c r="Q81" i="41"/>
  <c r="R81" i="41" s="1"/>
  <c r="Q83" i="41"/>
  <c r="R83" i="41" s="1"/>
  <c r="Q79" i="41"/>
  <c r="R79" i="41" s="1"/>
  <c r="Q76" i="41"/>
  <c r="R76" i="41" s="1"/>
  <c r="Q75" i="41"/>
  <c r="R75" i="41" s="1"/>
  <c r="Q72" i="41"/>
  <c r="Q73" i="41"/>
  <c r="R73" i="41" s="1"/>
  <c r="Q80" i="41"/>
  <c r="R80" i="41" s="1"/>
  <c r="Q78" i="41"/>
  <c r="R78" i="41" s="1"/>
  <c r="Q82" i="41"/>
  <c r="R82" i="41" s="1"/>
  <c r="Q77" i="41"/>
  <c r="R77" i="41" s="1"/>
  <c r="S75" i="41" l="1"/>
  <c r="I43" i="41"/>
  <c r="L43" i="41" s="1"/>
  <c r="M43" i="41" s="1"/>
  <c r="I44" i="41"/>
  <c r="L44" i="41" s="1"/>
  <c r="M44" i="41" s="1"/>
  <c r="S76" i="41"/>
  <c r="I45" i="41"/>
  <c r="L45" i="41" s="1"/>
  <c r="M45" i="41" s="1"/>
  <c r="I46" i="41"/>
  <c r="L46" i="41" s="1"/>
  <c r="M46" i="41" s="1"/>
  <c r="S77" i="41"/>
  <c r="I47" i="41"/>
  <c r="L47" i="41" s="1"/>
  <c r="M47" i="41" s="1"/>
  <c r="I48" i="41"/>
  <c r="L48" i="41" s="1"/>
  <c r="M48" i="41" s="1"/>
  <c r="S79" i="41"/>
  <c r="I52" i="41"/>
  <c r="L52" i="41" s="1"/>
  <c r="M52" i="41" s="1"/>
  <c r="I51" i="41"/>
  <c r="L51" i="41" s="1"/>
  <c r="M51" i="41" s="1"/>
  <c r="S83" i="41"/>
  <c r="I60" i="41"/>
  <c r="L60" i="41" s="1"/>
  <c r="M60" i="41" s="1"/>
  <c r="I59" i="41"/>
  <c r="L59" i="41" s="1"/>
  <c r="M59" i="41" s="1"/>
  <c r="S78" i="41"/>
  <c r="I50" i="41"/>
  <c r="L50" i="41" s="1"/>
  <c r="M50" i="41" s="1"/>
  <c r="I49" i="41"/>
  <c r="L49" i="41" s="1"/>
  <c r="M49" i="41" s="1"/>
  <c r="N42" i="41"/>
  <c r="O42" i="41" s="1"/>
  <c r="S42" i="41" s="1"/>
  <c r="S80" i="41"/>
  <c r="I53" i="41"/>
  <c r="L53" i="41" s="1"/>
  <c r="M53" i="41" s="1"/>
  <c r="I54" i="41"/>
  <c r="L54" i="41" s="1"/>
  <c r="M54" i="41" s="1"/>
  <c r="S81" i="41"/>
  <c r="I55" i="41"/>
  <c r="L55" i="41" s="1"/>
  <c r="M55" i="41" s="1"/>
  <c r="I56" i="41"/>
  <c r="L56" i="41" s="1"/>
  <c r="M56" i="41" s="1"/>
  <c r="S82" i="41"/>
  <c r="I58" i="41"/>
  <c r="L58" i="41" s="1"/>
  <c r="M58" i="41" s="1"/>
  <c r="I57" i="41"/>
  <c r="L57" i="41" s="1"/>
  <c r="M57" i="41" s="1"/>
  <c r="S73" i="41"/>
  <c r="I40" i="41"/>
  <c r="L40" i="41" s="1"/>
  <c r="M40" i="41" s="1"/>
  <c r="I39" i="41"/>
  <c r="L39" i="41" s="1"/>
  <c r="M39" i="41" s="1"/>
  <c r="Q84" i="41"/>
  <c r="R84" i="41" s="1"/>
  <c r="S84" i="41" s="1"/>
  <c r="R72" i="41"/>
  <c r="P41" i="41"/>
  <c r="R41" i="41"/>
  <c r="R42" i="41"/>
  <c r="P42" i="41"/>
  <c r="P56" i="41" l="1"/>
  <c r="N49" i="41"/>
  <c r="O49" i="41" s="1"/>
  <c r="N50" i="41"/>
  <c r="N56" i="41"/>
  <c r="O56" i="41" s="1"/>
  <c r="N55" i="41"/>
  <c r="O55" i="41" s="1"/>
  <c r="N48" i="41"/>
  <c r="O48" i="41" s="1"/>
  <c r="N47" i="41"/>
  <c r="N43" i="41"/>
  <c r="O43" i="41" s="1"/>
  <c r="N44" i="41"/>
  <c r="P49" i="41"/>
  <c r="N40" i="41"/>
  <c r="O40" i="41" s="1"/>
  <c r="N39" i="41"/>
  <c r="N60" i="41"/>
  <c r="O60" i="41" s="1"/>
  <c r="N59" i="41"/>
  <c r="S72" i="41"/>
  <c r="I38" i="41"/>
  <c r="L38" i="41" s="1"/>
  <c r="M38" i="41" s="1"/>
  <c r="I37" i="41"/>
  <c r="L37" i="41" s="1"/>
  <c r="M37" i="41" s="1"/>
  <c r="N53" i="41"/>
  <c r="N54" i="41"/>
  <c r="N58" i="41"/>
  <c r="N57" i="41"/>
  <c r="N51" i="41"/>
  <c r="N52" i="41"/>
  <c r="P43" i="41"/>
  <c r="N46" i="41"/>
  <c r="O46" i="41" s="1"/>
  <c r="N45" i="41"/>
  <c r="O45" i="41" s="1"/>
  <c r="S60" i="41" l="1"/>
  <c r="R60" i="41"/>
  <c r="O39" i="41"/>
  <c r="P39" i="41"/>
  <c r="O54" i="41"/>
  <c r="P54" i="41"/>
  <c r="O58" i="41"/>
  <c r="P58" i="41"/>
  <c r="S55" i="41"/>
  <c r="R55" i="41"/>
  <c r="P55" i="41"/>
  <c r="S56" i="41"/>
  <c r="R56" i="41"/>
  <c r="P60" i="41"/>
  <c r="S45" i="41"/>
  <c r="R45" i="41"/>
  <c r="S40" i="41"/>
  <c r="R40" i="41"/>
  <c r="O50" i="41"/>
  <c r="P50" i="41"/>
  <c r="S46" i="41"/>
  <c r="R46" i="41"/>
  <c r="O53" i="41"/>
  <c r="P53" i="41"/>
  <c r="S49" i="41"/>
  <c r="R49" i="41"/>
  <c r="O51" i="41"/>
  <c r="P51" i="41"/>
  <c r="O47" i="41"/>
  <c r="R48" i="41" s="1"/>
  <c r="P47" i="41"/>
  <c r="P40" i="41"/>
  <c r="N37" i="41"/>
  <c r="O37" i="41" s="1"/>
  <c r="N38" i="41"/>
  <c r="O38" i="41" s="1"/>
  <c r="O44" i="41"/>
  <c r="P44" i="41"/>
  <c r="P45" i="41"/>
  <c r="O52" i="41"/>
  <c r="P52" i="41"/>
  <c r="S43" i="41"/>
  <c r="R43" i="41"/>
  <c r="P46" i="41"/>
  <c r="O57" i="41"/>
  <c r="P57" i="41"/>
  <c r="O59" i="41"/>
  <c r="P59" i="41"/>
  <c r="S48" i="41"/>
  <c r="P48" i="41"/>
  <c r="U60" i="37"/>
  <c r="U59" i="37"/>
  <c r="U58" i="37"/>
  <c r="U57" i="37"/>
  <c r="U56" i="37"/>
  <c r="U55" i="37"/>
  <c r="U54" i="37"/>
  <c r="U53" i="37"/>
  <c r="U52" i="37"/>
  <c r="U51" i="37"/>
  <c r="U50" i="37"/>
  <c r="U49" i="37"/>
  <c r="U48" i="37"/>
  <c r="U47" i="37"/>
  <c r="U46" i="37"/>
  <c r="U45" i="37"/>
  <c r="U44" i="37"/>
  <c r="U43" i="37"/>
  <c r="U42" i="37"/>
  <c r="U41" i="37"/>
  <c r="U40" i="37"/>
  <c r="U39" i="37"/>
  <c r="U38" i="37"/>
  <c r="U37" i="37"/>
  <c r="S38" i="41" l="1"/>
  <c r="R38" i="41"/>
  <c r="S37" i="41"/>
  <c r="R37" i="41"/>
  <c r="S52" i="41"/>
  <c r="R52" i="41"/>
  <c r="S53" i="41"/>
  <c r="R53" i="41"/>
  <c r="S58" i="41"/>
  <c r="R58" i="41"/>
  <c r="S57" i="41"/>
  <c r="R57" i="41"/>
  <c r="S44" i="41"/>
  <c r="R44" i="41"/>
  <c r="S51" i="41"/>
  <c r="R51" i="41"/>
  <c r="S59" i="41"/>
  <c r="R59" i="41"/>
  <c r="S47" i="41"/>
  <c r="R47" i="41"/>
  <c r="S54" i="41"/>
  <c r="R54" i="41"/>
  <c r="P37" i="41"/>
  <c r="P38" i="41"/>
  <c r="S50" i="41"/>
  <c r="R50" i="41"/>
  <c r="S39" i="41"/>
  <c r="R39" i="41"/>
  <c r="P61" i="41" l="1"/>
  <c r="H37" i="35" l="1"/>
  <c r="H38" i="35"/>
  <c r="H39" i="35"/>
  <c r="F61" i="37" l="1"/>
  <c r="G60" i="37"/>
  <c r="G59" i="37"/>
  <c r="G58" i="37"/>
  <c r="G57" i="37"/>
  <c r="G56" i="37"/>
  <c r="G55" i="37"/>
  <c r="G54" i="37"/>
  <c r="G53" i="37"/>
  <c r="G52" i="37"/>
  <c r="G51" i="37"/>
  <c r="G50" i="37"/>
  <c r="G49" i="37"/>
  <c r="G48" i="37"/>
  <c r="G47" i="37"/>
  <c r="G46" i="37"/>
  <c r="G45" i="37"/>
  <c r="G44" i="37"/>
  <c r="G43" i="37"/>
  <c r="G42" i="37"/>
  <c r="G41" i="37"/>
  <c r="G40" i="37"/>
  <c r="G39" i="37"/>
  <c r="G38" i="37"/>
  <c r="E61" i="37"/>
  <c r="E82" i="37"/>
  <c r="E81" i="37"/>
  <c r="E80" i="37"/>
  <c r="E79" i="37"/>
  <c r="E78" i="37"/>
  <c r="E77" i="37"/>
  <c r="E76" i="37"/>
  <c r="E75" i="37"/>
  <c r="E74" i="37"/>
  <c r="E73" i="37"/>
  <c r="E72" i="37"/>
  <c r="E71" i="37"/>
  <c r="G37" i="37" l="1"/>
  <c r="E83" i="37"/>
  <c r="D83" i="37"/>
  <c r="K82" i="37"/>
  <c r="F82" i="37"/>
  <c r="I82" i="37" s="1"/>
  <c r="K81" i="37"/>
  <c r="F81" i="37"/>
  <c r="I81" i="37" s="1"/>
  <c r="K80" i="37"/>
  <c r="F80" i="37"/>
  <c r="I80" i="37" s="1"/>
  <c r="K79" i="37"/>
  <c r="F79" i="37"/>
  <c r="I79" i="37" s="1"/>
  <c r="K78" i="37"/>
  <c r="F78" i="37"/>
  <c r="I78" i="37" s="1"/>
  <c r="K77" i="37"/>
  <c r="F77" i="37"/>
  <c r="I77" i="37" s="1"/>
  <c r="K76" i="37"/>
  <c r="F76" i="37"/>
  <c r="I76" i="37" s="1"/>
  <c r="K75" i="37"/>
  <c r="F75" i="37"/>
  <c r="I75" i="37" s="1"/>
  <c r="K74" i="37"/>
  <c r="F74" i="37"/>
  <c r="I74" i="37" s="1"/>
  <c r="K73" i="37"/>
  <c r="F73" i="37"/>
  <c r="I73" i="37" s="1"/>
  <c r="K72" i="37"/>
  <c r="F72" i="37"/>
  <c r="I72" i="37" s="1"/>
  <c r="K71" i="37"/>
  <c r="F71" i="37"/>
  <c r="I71" i="37" l="1"/>
  <c r="F83" i="37"/>
  <c r="M82" i="37" s="1"/>
  <c r="O82" i="37" s="1"/>
  <c r="P82" i="37" s="1"/>
  <c r="G61" i="37"/>
  <c r="M77" i="37" l="1"/>
  <c r="O77" i="37" s="1"/>
  <c r="P77" i="37" s="1"/>
  <c r="M71" i="37"/>
  <c r="O71" i="37" s="1"/>
  <c r="P71" i="37" s="1"/>
  <c r="M81" i="37"/>
  <c r="O81" i="37" s="1"/>
  <c r="P81" i="37" s="1"/>
  <c r="M76" i="37"/>
  <c r="O76" i="37" s="1"/>
  <c r="P76" i="37" s="1"/>
  <c r="M80" i="37"/>
  <c r="O80" i="37" s="1"/>
  <c r="P80" i="37" s="1"/>
  <c r="M78" i="37"/>
  <c r="O78" i="37" s="1"/>
  <c r="P78" i="37" s="1"/>
  <c r="M72" i="37"/>
  <c r="O72" i="37" s="1"/>
  <c r="P72" i="37" s="1"/>
  <c r="M73" i="37"/>
  <c r="O73" i="37" s="1"/>
  <c r="P73" i="37" s="1"/>
  <c r="M74" i="37"/>
  <c r="O74" i="37" s="1"/>
  <c r="P74" i="37" s="1"/>
  <c r="M75" i="37"/>
  <c r="O75" i="37" s="1"/>
  <c r="P75" i="37" s="1"/>
  <c r="M79" i="37"/>
  <c r="O79" i="37" s="1"/>
  <c r="P79" i="37" s="1"/>
  <c r="P83" i="37" l="1"/>
  <c r="Q82" i="37" s="1"/>
  <c r="R82" i="37" l="1"/>
  <c r="S82" i="37" s="1"/>
  <c r="J59" i="37"/>
  <c r="K59" i="37" s="1"/>
  <c r="J60" i="37"/>
  <c r="K60" i="37" s="1"/>
  <c r="Q73" i="37"/>
  <c r="Q76" i="37"/>
  <c r="Q75" i="37"/>
  <c r="Q78" i="37"/>
  <c r="Q71" i="37"/>
  <c r="Q79" i="37"/>
  <c r="Q80" i="37"/>
  <c r="Q77" i="37"/>
  <c r="Q72" i="37"/>
  <c r="Q74" i="37"/>
  <c r="Q81" i="37"/>
  <c r="R76" i="37" l="1"/>
  <c r="S76" i="37" s="1"/>
  <c r="R80" i="37"/>
  <c r="S80" i="37" s="1"/>
  <c r="R79" i="37"/>
  <c r="S79" i="37" s="1"/>
  <c r="R78" i="37"/>
  <c r="S78" i="37"/>
  <c r="R81" i="37"/>
  <c r="S81" i="37" s="1"/>
  <c r="R75" i="37"/>
  <c r="S75" i="37" s="1"/>
  <c r="R74" i="37"/>
  <c r="S74" i="37" s="1"/>
  <c r="R72" i="37"/>
  <c r="S72" i="37" s="1"/>
  <c r="R73" i="37"/>
  <c r="S73" i="37" s="1"/>
  <c r="R77" i="37"/>
  <c r="S77" i="37" s="1"/>
  <c r="R71" i="37"/>
  <c r="S71" i="37" s="1"/>
  <c r="I53" i="37"/>
  <c r="J53" i="37"/>
  <c r="K53" i="37" s="1"/>
  <c r="J54" i="37"/>
  <c r="K54" i="37" s="1"/>
  <c r="J37" i="37"/>
  <c r="K37" i="37" s="1"/>
  <c r="J38" i="37"/>
  <c r="K38" i="37" s="1"/>
  <c r="J57" i="37"/>
  <c r="K57" i="37" s="1"/>
  <c r="J58" i="37"/>
  <c r="K58" i="37" s="1"/>
  <c r="J41" i="37"/>
  <c r="K41" i="37" s="1"/>
  <c r="J42" i="37"/>
  <c r="K42" i="37" s="1"/>
  <c r="J52" i="37"/>
  <c r="K52" i="37" s="1"/>
  <c r="J51" i="37"/>
  <c r="K51" i="37" s="1"/>
  <c r="J45" i="37"/>
  <c r="K45" i="37" s="1"/>
  <c r="J46" i="37"/>
  <c r="K46" i="37" s="1"/>
  <c r="J43" i="37"/>
  <c r="K43" i="37" s="1"/>
  <c r="J44" i="37"/>
  <c r="K44" i="37" s="1"/>
  <c r="J47" i="37"/>
  <c r="K47" i="37" s="1"/>
  <c r="J48" i="37"/>
  <c r="K48" i="37" s="1"/>
  <c r="J39" i="37"/>
  <c r="K39" i="37" s="1"/>
  <c r="J40" i="37"/>
  <c r="K40" i="37" s="1"/>
  <c r="J49" i="37"/>
  <c r="K49" i="37" s="1"/>
  <c r="J50" i="37"/>
  <c r="K50" i="37" s="1"/>
  <c r="J55" i="37"/>
  <c r="K55" i="37" s="1"/>
  <c r="J56" i="37"/>
  <c r="K56" i="37" s="1"/>
  <c r="I45" i="37"/>
  <c r="I46" i="37"/>
  <c r="I52" i="37"/>
  <c r="I51" i="37"/>
  <c r="I60" i="37"/>
  <c r="L60" i="37" s="1"/>
  <c r="O60" i="37" s="1"/>
  <c r="I59" i="37"/>
  <c r="L59" i="37" s="1"/>
  <c r="I42" i="37"/>
  <c r="I41" i="37"/>
  <c r="Q83" i="37"/>
  <c r="R83" i="37" s="1"/>
  <c r="O59" i="37" l="1"/>
  <c r="P59" i="37" s="1"/>
  <c r="L45" i="37"/>
  <c r="L51" i="37"/>
  <c r="L52" i="37"/>
  <c r="O52" i="37" s="1"/>
  <c r="L42" i="37"/>
  <c r="O42" i="37" s="1"/>
  <c r="L41" i="37"/>
  <c r="L53" i="37"/>
  <c r="L46" i="37"/>
  <c r="O46" i="37" s="1"/>
  <c r="I54" i="37"/>
  <c r="L54" i="37" s="1"/>
  <c r="O54" i="37" s="1"/>
  <c r="I44" i="37"/>
  <c r="L44" i="37" s="1"/>
  <c r="O44" i="37" s="1"/>
  <c r="I43" i="37"/>
  <c r="L43" i="37" s="1"/>
  <c r="I50" i="37"/>
  <c r="L50" i="37" s="1"/>
  <c r="O50" i="37" s="1"/>
  <c r="I49" i="37"/>
  <c r="L49" i="37" s="1"/>
  <c r="I40" i="37"/>
  <c r="L40" i="37" s="1"/>
  <c r="O40" i="37" s="1"/>
  <c r="I39" i="37"/>
  <c r="L39" i="37" s="1"/>
  <c r="I37" i="37"/>
  <c r="L37" i="37" s="1"/>
  <c r="I38" i="37"/>
  <c r="L38" i="37" s="1"/>
  <c r="O38" i="37" s="1"/>
  <c r="K61" i="37"/>
  <c r="I47" i="37"/>
  <c r="L47" i="37" s="1"/>
  <c r="I48" i="37"/>
  <c r="L48" i="37" s="1"/>
  <c r="O48" i="37" s="1"/>
  <c r="I58" i="37"/>
  <c r="L58" i="37" s="1"/>
  <c r="O58" i="37" s="1"/>
  <c r="I57" i="37"/>
  <c r="L57" i="37" s="1"/>
  <c r="I55" i="37"/>
  <c r="L55" i="37" s="1"/>
  <c r="I56" i="37"/>
  <c r="L56" i="37" s="1"/>
  <c r="O56" i="37" s="1"/>
  <c r="Q60" i="37" l="1"/>
  <c r="R60" i="37" s="1"/>
  <c r="O37" i="37"/>
  <c r="P37" i="37" s="1"/>
  <c r="O39" i="37"/>
  <c r="O55" i="37"/>
  <c r="O57" i="37"/>
  <c r="O49" i="37"/>
  <c r="P49" i="37" s="1"/>
  <c r="O43" i="37"/>
  <c r="P43" i="37" s="1"/>
  <c r="O51" i="37"/>
  <c r="P51" i="37" s="1"/>
  <c r="O41" i="37"/>
  <c r="P41" i="37" s="1"/>
  <c r="O47" i="37"/>
  <c r="O53" i="37"/>
  <c r="P53" i="37" s="1"/>
  <c r="O45" i="37"/>
  <c r="P45" i="37" s="1"/>
  <c r="L61" i="37"/>
  <c r="E52" i="35"/>
  <c r="D52" i="35"/>
  <c r="E51" i="35"/>
  <c r="D51" i="35"/>
  <c r="E50" i="35"/>
  <c r="D50" i="35"/>
  <c r="E49" i="35"/>
  <c r="H49" i="35" s="1"/>
  <c r="D49" i="35"/>
  <c r="V48" i="35"/>
  <c r="H48" i="35"/>
  <c r="K48" i="35" s="1"/>
  <c r="O48" i="35" s="1"/>
  <c r="V47" i="35"/>
  <c r="H47" i="35"/>
  <c r="V46" i="35"/>
  <c r="H46" i="35"/>
  <c r="K45" i="35" s="1"/>
  <c r="O45" i="35" s="1"/>
  <c r="V45" i="35"/>
  <c r="H45" i="35"/>
  <c r="V44" i="35"/>
  <c r="H44" i="35"/>
  <c r="V43" i="35"/>
  <c r="H43" i="35"/>
  <c r="V42" i="35"/>
  <c r="H42" i="35"/>
  <c r="K41" i="35" s="1"/>
  <c r="O41" i="35" s="1"/>
  <c r="V41" i="35"/>
  <c r="H41" i="35"/>
  <c r="V40" i="35"/>
  <c r="K40" i="35"/>
  <c r="O40" i="35" s="1"/>
  <c r="H40" i="35"/>
  <c r="K39" i="35" s="1"/>
  <c r="V39" i="35"/>
  <c r="O39" i="35"/>
  <c r="V38" i="35"/>
  <c r="K38" i="35"/>
  <c r="O38" i="35" s="1"/>
  <c r="P38" i="35" s="1"/>
  <c r="V37" i="35"/>
  <c r="K37" i="35"/>
  <c r="O37" i="35" s="1"/>
  <c r="V1" i="35"/>
  <c r="Q38" i="37" l="1"/>
  <c r="Q44" i="37"/>
  <c r="R44" i="37" s="1"/>
  <c r="Q50" i="37"/>
  <c r="R50" i="37" s="1"/>
  <c r="T50" i="37" s="1"/>
  <c r="W50" i="37" s="1"/>
  <c r="P55" i="37"/>
  <c r="P57" i="37"/>
  <c r="Q52" i="37"/>
  <c r="R52" i="37" s="1"/>
  <c r="T52" i="37" s="1"/>
  <c r="Q46" i="37"/>
  <c r="R46" i="37" s="1"/>
  <c r="Q42" i="37"/>
  <c r="R42" i="37" s="1"/>
  <c r="T42" i="37" s="1"/>
  <c r="W42" i="37" s="1"/>
  <c r="Q54" i="37"/>
  <c r="R54" i="37" s="1"/>
  <c r="P39" i="37"/>
  <c r="P47" i="37"/>
  <c r="Q37" i="37"/>
  <c r="R37" i="37" s="1"/>
  <c r="S37" i="37" s="1"/>
  <c r="Q58" i="37"/>
  <c r="R58" i="37" s="1"/>
  <c r="Q48" i="37"/>
  <c r="R48" i="37" s="1"/>
  <c r="Q40" i="37"/>
  <c r="R40" i="37" s="1"/>
  <c r="Q45" i="37"/>
  <c r="R45" i="37" s="1"/>
  <c r="S45" i="37" s="1"/>
  <c r="Q53" i="37"/>
  <c r="R53" i="37" s="1"/>
  <c r="S53" i="37" s="1"/>
  <c r="Q59" i="37"/>
  <c r="R59" i="37" s="1"/>
  <c r="S59" i="37" s="1"/>
  <c r="Q49" i="37"/>
  <c r="R49" i="37" s="1"/>
  <c r="S49" i="37" s="1"/>
  <c r="Q51" i="37"/>
  <c r="R51" i="37" s="1"/>
  <c r="S51" i="37" s="1"/>
  <c r="Q41" i="37"/>
  <c r="R41" i="37" s="1"/>
  <c r="S41" i="37" s="1"/>
  <c r="T60" i="37"/>
  <c r="H51" i="35"/>
  <c r="K43" i="35"/>
  <c r="O43" i="35" s="1"/>
  <c r="H52" i="35"/>
  <c r="K44" i="35"/>
  <c r="O44" i="35" s="1"/>
  <c r="H50" i="35"/>
  <c r="K47" i="35"/>
  <c r="O47" i="35" s="1"/>
  <c r="P41" i="35"/>
  <c r="P45" i="35"/>
  <c r="P40" i="35"/>
  <c r="P44" i="35"/>
  <c r="P39" i="35"/>
  <c r="P47" i="35"/>
  <c r="K42" i="35"/>
  <c r="O42" i="35" s="1"/>
  <c r="K46" i="35"/>
  <c r="O46" i="35" s="1"/>
  <c r="P43" i="35"/>
  <c r="P37" i="35"/>
  <c r="P48" i="35"/>
  <c r="S54" i="37" l="1"/>
  <c r="S46" i="37"/>
  <c r="T46" i="37"/>
  <c r="W46" i="37" s="1"/>
  <c r="S60" i="37"/>
  <c r="R38" i="37"/>
  <c r="S38" i="37" s="1"/>
  <c r="S52" i="37"/>
  <c r="S42" i="37"/>
  <c r="T54" i="37"/>
  <c r="S50" i="37"/>
  <c r="T51" i="37"/>
  <c r="W51" i="37" s="1"/>
  <c r="T59" i="37"/>
  <c r="T58" i="37"/>
  <c r="T48" i="37"/>
  <c r="W48" i="37" s="1"/>
  <c r="T49" i="37"/>
  <c r="W49" i="37" s="1"/>
  <c r="T53" i="37"/>
  <c r="Q47" i="37"/>
  <c r="R47" i="37" s="1"/>
  <c r="S47" i="37" s="1"/>
  <c r="T40" i="37"/>
  <c r="W40" i="37" s="1"/>
  <c r="T45" i="37"/>
  <c r="W45" i="37" s="1"/>
  <c r="T41" i="37"/>
  <c r="W41" i="37" s="1"/>
  <c r="T44" i="37"/>
  <c r="W44" i="37" s="1"/>
  <c r="Q57" i="37"/>
  <c r="R57" i="37" s="1"/>
  <c r="S57" i="37" s="1"/>
  <c r="Q43" i="37"/>
  <c r="R43" i="37" s="1"/>
  <c r="S43" i="37" s="1"/>
  <c r="O61" i="37"/>
  <c r="Q39" i="37"/>
  <c r="R39" i="37" s="1"/>
  <c r="S39" i="37" s="1"/>
  <c r="P52" i="35"/>
  <c r="Q61" i="35" s="1"/>
  <c r="P49" i="35"/>
  <c r="Q58" i="35" s="1"/>
  <c r="P46" i="35"/>
  <c r="P42" i="35"/>
  <c r="P50" i="35" s="1"/>
  <c r="Q59" i="35" s="1"/>
  <c r="S58" i="37" l="1"/>
  <c r="T38" i="37"/>
  <c r="W38" i="37" s="1"/>
  <c r="S40" i="37"/>
  <c r="S48" i="37"/>
  <c r="S44" i="37"/>
  <c r="T43" i="37"/>
  <c r="W43" i="37" s="1"/>
  <c r="T57" i="37"/>
  <c r="T47" i="37"/>
  <c r="W47" i="37" s="1"/>
  <c r="T39" i="37"/>
  <c r="W39" i="37" s="1"/>
  <c r="Q56" i="37"/>
  <c r="R56" i="37" s="1"/>
  <c r="Q55" i="37"/>
  <c r="R55" i="37" s="1"/>
  <c r="S55" i="37" s="1"/>
  <c r="W54" i="37"/>
  <c r="W52" i="37"/>
  <c r="W53" i="37"/>
  <c r="Q39" i="35"/>
  <c r="R38" i="35"/>
  <c r="R40" i="35"/>
  <c r="P59" i="35"/>
  <c r="R42" i="35"/>
  <c r="P51" i="35"/>
  <c r="Q60" i="35" s="1"/>
  <c r="P58" i="35"/>
  <c r="P61" i="35"/>
  <c r="S56" i="37" l="1"/>
  <c r="T55" i="37"/>
  <c r="W55" i="37" s="1"/>
  <c r="T56" i="37"/>
  <c r="W56" i="37" s="1"/>
  <c r="Q61" i="37"/>
  <c r="R61" i="37" s="1"/>
  <c r="T39" i="35"/>
  <c r="Q48" i="35"/>
  <c r="Q47" i="35"/>
  <c r="R47" i="35"/>
  <c r="R48" i="35"/>
  <c r="Q40" i="35"/>
  <c r="Q38" i="35"/>
  <c r="Q37" i="35"/>
  <c r="R39" i="35"/>
  <c r="R37" i="35"/>
  <c r="P60" i="35"/>
  <c r="Q41" i="35"/>
  <c r="R41" i="35"/>
  <c r="Q42" i="35"/>
  <c r="W58" i="37" l="1"/>
  <c r="W57" i="37"/>
  <c r="T37" i="35"/>
  <c r="S37" i="35"/>
  <c r="S41" i="35"/>
  <c r="T41" i="35"/>
  <c r="S40" i="35"/>
  <c r="T40" i="35"/>
  <c r="T38" i="35"/>
  <c r="S38" i="35"/>
  <c r="S47" i="35"/>
  <c r="T47" i="35"/>
  <c r="S42" i="35"/>
  <c r="T42" i="35"/>
  <c r="T48" i="35"/>
  <c r="S48" i="35"/>
  <c r="S39" i="35"/>
  <c r="Q43" i="35"/>
  <c r="Q45" i="35"/>
  <c r="Q44" i="35"/>
  <c r="R43" i="35"/>
  <c r="R44" i="35"/>
  <c r="R45" i="35"/>
  <c r="Q46" i="35"/>
  <c r="R46" i="35"/>
  <c r="R50" i="35"/>
  <c r="R49" i="35"/>
  <c r="R52" i="35"/>
  <c r="R51" i="35" l="1"/>
  <c r="W59" i="37"/>
  <c r="W60" i="37"/>
  <c r="S43" i="35"/>
  <c r="T43" i="35"/>
  <c r="S45" i="35"/>
  <c r="T45" i="35"/>
  <c r="T46" i="35"/>
  <c r="S46" i="35"/>
  <c r="T44" i="35"/>
  <c r="S44" i="35"/>
  <c r="E1" i="24"/>
  <c r="V1" i="33"/>
  <c r="V1" i="27"/>
  <c r="V1" i="18"/>
  <c r="T1" i="30"/>
  <c r="K1" i="26"/>
  <c r="E43" i="33"/>
  <c r="D43" i="33"/>
  <c r="V42" i="33"/>
  <c r="K42" i="33"/>
  <c r="F42" i="33"/>
  <c r="I42" i="33" s="1"/>
  <c r="V41" i="33"/>
  <c r="K41" i="33"/>
  <c r="F41" i="33"/>
  <c r="I41" i="33" s="1"/>
  <c r="O41" i="33" s="1"/>
  <c r="V40" i="33"/>
  <c r="K40" i="33"/>
  <c r="F40" i="33"/>
  <c r="I40" i="33" s="1"/>
  <c r="V39" i="33"/>
  <c r="K39" i="33"/>
  <c r="F39" i="33"/>
  <c r="I39" i="33" s="1"/>
  <c r="V38" i="33"/>
  <c r="K38" i="33"/>
  <c r="F38" i="33"/>
  <c r="I38" i="33" s="1"/>
  <c r="V37" i="33"/>
  <c r="K37" i="33"/>
  <c r="F37" i="33"/>
  <c r="I37" i="33" s="1"/>
  <c r="O37" i="33" s="1"/>
  <c r="V36" i="33"/>
  <c r="K36" i="33"/>
  <c r="F36" i="33"/>
  <c r="I36" i="33" s="1"/>
  <c r="V35" i="33"/>
  <c r="K35" i="33"/>
  <c r="F35" i="33"/>
  <c r="I35" i="33" s="1"/>
  <c r="O35" i="33" s="1"/>
  <c r="V34" i="33"/>
  <c r="K34" i="33"/>
  <c r="F34" i="33"/>
  <c r="I34" i="33" s="1"/>
  <c r="V33" i="33"/>
  <c r="K33" i="33"/>
  <c r="F33" i="33"/>
  <c r="I33" i="33" s="1"/>
  <c r="O33" i="33" s="1"/>
  <c r="V32" i="33"/>
  <c r="K32" i="33"/>
  <c r="F32" i="33"/>
  <c r="I32" i="33" s="1"/>
  <c r="V31" i="33"/>
  <c r="K31" i="33"/>
  <c r="F31" i="33"/>
  <c r="I31" i="33" s="1"/>
  <c r="O31" i="33" s="1"/>
  <c r="F43" i="33" l="1"/>
  <c r="O39" i="33"/>
  <c r="O42" i="33"/>
  <c r="P42" i="33" s="1"/>
  <c r="P31" i="33"/>
  <c r="O32" i="33"/>
  <c r="P33" i="33"/>
  <c r="P35" i="33"/>
  <c r="P37" i="33"/>
  <c r="P39" i="33"/>
  <c r="O40" i="33"/>
  <c r="P41" i="33"/>
  <c r="O34" i="33"/>
  <c r="O36" i="33"/>
  <c r="O38" i="33"/>
  <c r="E49" i="30"/>
  <c r="E52" i="30"/>
  <c r="D52" i="30"/>
  <c r="E51" i="30"/>
  <c r="D51" i="30"/>
  <c r="E50" i="30"/>
  <c r="D50" i="30"/>
  <c r="D49" i="30"/>
  <c r="T48" i="30"/>
  <c r="F48" i="30"/>
  <c r="I47" i="30" s="1"/>
  <c r="T47" i="30"/>
  <c r="F47" i="30"/>
  <c r="K47" i="30" s="1"/>
  <c r="T46" i="30"/>
  <c r="F46" i="30"/>
  <c r="I43" i="30" s="1"/>
  <c r="T45" i="30"/>
  <c r="I45" i="30"/>
  <c r="F45" i="30"/>
  <c r="T44" i="30"/>
  <c r="I44" i="30"/>
  <c r="F44" i="30"/>
  <c r="K44" i="30" s="1"/>
  <c r="T43" i="30"/>
  <c r="F43" i="30"/>
  <c r="T42" i="30"/>
  <c r="F42" i="30"/>
  <c r="K42" i="30" s="1"/>
  <c r="T41" i="30"/>
  <c r="I41" i="30"/>
  <c r="F41" i="30"/>
  <c r="K41" i="30" s="1"/>
  <c r="M41" i="30" s="1"/>
  <c r="T40" i="30"/>
  <c r="F40" i="30"/>
  <c r="I37" i="30" s="1"/>
  <c r="T39" i="30"/>
  <c r="F39" i="30"/>
  <c r="T38" i="30"/>
  <c r="F38" i="30"/>
  <c r="T37" i="30"/>
  <c r="F37" i="30"/>
  <c r="K37" i="30" l="1"/>
  <c r="K38" i="30"/>
  <c r="K43" i="30"/>
  <c r="I38" i="30"/>
  <c r="I42" i="30"/>
  <c r="I39" i="30"/>
  <c r="F51" i="30"/>
  <c r="K40" i="30"/>
  <c r="K48" i="30"/>
  <c r="K39" i="30"/>
  <c r="M39" i="30" s="1"/>
  <c r="N39" i="30" s="1"/>
  <c r="K45" i="30"/>
  <c r="M45" i="30" s="1"/>
  <c r="N45" i="30" s="1"/>
  <c r="K46" i="30"/>
  <c r="I46" i="30"/>
  <c r="F49" i="30"/>
  <c r="P34" i="33"/>
  <c r="P38" i="33"/>
  <c r="P36" i="33"/>
  <c r="P40" i="33"/>
  <c r="P32" i="33"/>
  <c r="M42" i="30"/>
  <c r="N42" i="30" s="1"/>
  <c r="M47" i="30"/>
  <c r="N47" i="30" s="1"/>
  <c r="M44" i="30"/>
  <c r="N44" i="30" s="1"/>
  <c r="M43" i="30"/>
  <c r="N43" i="30" s="1"/>
  <c r="M38" i="30"/>
  <c r="N38" i="30" s="1"/>
  <c r="M37" i="30"/>
  <c r="N37" i="30" s="1"/>
  <c r="N41" i="30"/>
  <c r="I48" i="30"/>
  <c r="I40" i="30"/>
  <c r="F52" i="30"/>
  <c r="F50" i="30"/>
  <c r="M48" i="30" l="1"/>
  <c r="M40" i="30"/>
  <c r="M46" i="30"/>
  <c r="N46" i="30" s="1"/>
  <c r="P43" i="33"/>
  <c r="O45" i="33" s="1"/>
  <c r="P45" i="33"/>
  <c r="N40" i="30"/>
  <c r="N49" i="30" s="1"/>
  <c r="Q58" i="30" s="1"/>
  <c r="O39" i="30" s="1"/>
  <c r="N51" i="30"/>
  <c r="N48" i="30"/>
  <c r="N52" i="30" s="1"/>
  <c r="N50" i="30"/>
  <c r="E46" i="26"/>
  <c r="Q33" i="33" l="1"/>
  <c r="Q41" i="33"/>
  <c r="Q39" i="33"/>
  <c r="Q31" i="33"/>
  <c r="Q37" i="33"/>
  <c r="Q35" i="33"/>
  <c r="Q42" i="33"/>
  <c r="Q32" i="33"/>
  <c r="Q38" i="33"/>
  <c r="Q40" i="33"/>
  <c r="Q34" i="33"/>
  <c r="Q36" i="33"/>
  <c r="O61" i="30"/>
  <c r="Q61" i="30"/>
  <c r="P48" i="30" s="1"/>
  <c r="O60" i="30"/>
  <c r="Q60" i="30"/>
  <c r="O58" i="30"/>
  <c r="Q59" i="30"/>
  <c r="O59" i="30"/>
  <c r="P40" i="30"/>
  <c r="T38" i="33" l="1"/>
  <c r="R38" i="33"/>
  <c r="T37" i="33"/>
  <c r="R37" i="33"/>
  <c r="T33" i="33"/>
  <c r="R33" i="33"/>
  <c r="T36" i="33"/>
  <c r="R36" i="33"/>
  <c r="R32" i="33"/>
  <c r="T32" i="33"/>
  <c r="R31" i="33"/>
  <c r="T31" i="33"/>
  <c r="R34" i="33"/>
  <c r="T34" i="33"/>
  <c r="T42" i="33"/>
  <c r="R42" i="33"/>
  <c r="T39" i="33"/>
  <c r="R39" i="33"/>
  <c r="T40" i="33"/>
  <c r="R40" i="33"/>
  <c r="T35" i="33"/>
  <c r="R35" i="33"/>
  <c r="R41" i="33"/>
  <c r="T41" i="33"/>
  <c r="O41" i="30"/>
  <c r="O42" i="30"/>
  <c r="P42" i="30"/>
  <c r="P41" i="30"/>
  <c r="O44" i="30"/>
  <c r="O45" i="30"/>
  <c r="O43" i="30"/>
  <c r="O46" i="30"/>
  <c r="P43" i="30"/>
  <c r="P46" i="30"/>
  <c r="P44" i="30"/>
  <c r="P45" i="30"/>
  <c r="O38" i="30"/>
  <c r="O37" i="30"/>
  <c r="R37" i="30" s="1"/>
  <c r="P38" i="30"/>
  <c r="O40" i="30"/>
  <c r="P39" i="30"/>
  <c r="P37" i="30"/>
  <c r="O47" i="30"/>
  <c r="P47" i="30"/>
  <c r="P52" i="30" s="1"/>
  <c r="O48" i="30"/>
  <c r="R43" i="33" l="1"/>
  <c r="P50" i="30"/>
  <c r="R47" i="30"/>
  <c r="Q47" i="30"/>
  <c r="Q46" i="30"/>
  <c r="R46" i="30"/>
  <c r="P49" i="30"/>
  <c r="Q37" i="30"/>
  <c r="R43" i="30"/>
  <c r="Q43" i="30"/>
  <c r="R48" i="30"/>
  <c r="Q48" i="30"/>
  <c r="R39" i="30"/>
  <c r="Q39" i="30"/>
  <c r="Q45" i="30"/>
  <c r="R45" i="30"/>
  <c r="R42" i="30"/>
  <c r="Q42" i="30"/>
  <c r="Q40" i="30"/>
  <c r="R40" i="30"/>
  <c r="R38" i="30"/>
  <c r="Q38" i="30"/>
  <c r="P51" i="30"/>
  <c r="R44" i="30"/>
  <c r="Q44" i="30"/>
  <c r="R41" i="30"/>
  <c r="Q41" i="30"/>
  <c r="D43" i="27" l="1"/>
  <c r="E43" i="27"/>
  <c r="E38" i="27"/>
  <c r="D38" i="27"/>
  <c r="E41" i="18"/>
  <c r="E42" i="25"/>
  <c r="E45" i="26"/>
  <c r="V29" i="27" l="1"/>
  <c r="V30" i="27"/>
  <c r="V39" i="27"/>
  <c r="V31" i="27"/>
  <c r="V32" i="27"/>
  <c r="V40" i="27"/>
  <c r="V33" i="27"/>
  <c r="V34" i="27"/>
  <c r="V35" i="27"/>
  <c r="V41" i="27"/>
  <c r="V36" i="27"/>
  <c r="V37" i="27"/>
  <c r="V28" i="27"/>
  <c r="V42" i="27"/>
  <c r="F43" i="27"/>
  <c r="K37" i="27"/>
  <c r="F37" i="27"/>
  <c r="I37" i="27" s="1"/>
  <c r="K40" i="27"/>
  <c r="F40" i="27"/>
  <c r="I40" i="27" s="1"/>
  <c r="K42" i="27"/>
  <c r="F42" i="27"/>
  <c r="I42" i="27" s="1"/>
  <c r="K36" i="27"/>
  <c r="F36" i="27"/>
  <c r="I36" i="27" s="1"/>
  <c r="K41" i="27"/>
  <c r="F41" i="27"/>
  <c r="I41" i="27" s="1"/>
  <c r="K35" i="27"/>
  <c r="F35" i="27"/>
  <c r="I35" i="27" s="1"/>
  <c r="K34" i="27"/>
  <c r="F34" i="27"/>
  <c r="I34" i="27" s="1"/>
  <c r="K33" i="27"/>
  <c r="F33" i="27"/>
  <c r="I33" i="27" s="1"/>
  <c r="K32" i="27"/>
  <c r="F32" i="27"/>
  <c r="I32" i="27" s="1"/>
  <c r="K31" i="27"/>
  <c r="F31" i="27"/>
  <c r="I31" i="27" s="1"/>
  <c r="K39" i="27"/>
  <c r="F39" i="27"/>
  <c r="I39" i="27" s="1"/>
  <c r="K30" i="27"/>
  <c r="F30" i="27"/>
  <c r="I30" i="27" s="1"/>
  <c r="K29" i="27"/>
  <c r="F29" i="27"/>
  <c r="I29" i="27" s="1"/>
  <c r="K28" i="27"/>
  <c r="F28" i="27"/>
  <c r="I28" i="27" s="1"/>
  <c r="F44" i="26"/>
  <c r="F43" i="26"/>
  <c r="F42" i="26"/>
  <c r="F41" i="26"/>
  <c r="F40" i="26"/>
  <c r="F39" i="26"/>
  <c r="F38" i="26"/>
  <c r="F37" i="26"/>
  <c r="F36" i="26"/>
  <c r="F35" i="26"/>
  <c r="F34" i="26"/>
  <c r="F33" i="26"/>
  <c r="D46" i="26"/>
  <c r="F46" i="26" s="1"/>
  <c r="D45" i="26"/>
  <c r="K44" i="26"/>
  <c r="K43" i="26"/>
  <c r="K42" i="26"/>
  <c r="K41" i="26"/>
  <c r="K40" i="26"/>
  <c r="K39" i="26"/>
  <c r="K38" i="26"/>
  <c r="K37" i="26"/>
  <c r="K36" i="26"/>
  <c r="K35" i="26"/>
  <c r="K34" i="26"/>
  <c r="K33" i="26"/>
  <c r="D42" i="25"/>
  <c r="K41" i="25"/>
  <c r="F41" i="25"/>
  <c r="K40" i="25"/>
  <c r="F40" i="25"/>
  <c r="K39" i="25"/>
  <c r="F39" i="25"/>
  <c r="K38" i="25"/>
  <c r="F38" i="25"/>
  <c r="K37" i="25"/>
  <c r="F37" i="25"/>
  <c r="K36" i="25"/>
  <c r="F36" i="25"/>
  <c r="K35" i="25"/>
  <c r="F35" i="25"/>
  <c r="K34" i="25"/>
  <c r="F34" i="25"/>
  <c r="K33" i="25"/>
  <c r="F33" i="25"/>
  <c r="K32" i="25"/>
  <c r="F32" i="25"/>
  <c r="K31" i="25"/>
  <c r="F31" i="25"/>
  <c r="K30" i="25"/>
  <c r="F30" i="25"/>
  <c r="M41" i="27" l="1"/>
  <c r="M42" i="27"/>
  <c r="M39" i="27"/>
  <c r="M40" i="27"/>
  <c r="O40" i="27" s="1"/>
  <c r="F38" i="27"/>
  <c r="F45" i="26"/>
  <c r="H33" i="26" s="1"/>
  <c r="I33" i="26" s="1"/>
  <c r="F42" i="25"/>
  <c r="H34" i="25" s="1"/>
  <c r="I34" i="25" s="1"/>
  <c r="H41" i="26" l="1"/>
  <c r="I41" i="26" s="1"/>
  <c r="M33" i="27"/>
  <c r="O33" i="27" s="1"/>
  <c r="M37" i="27"/>
  <c r="O37" i="27" s="1"/>
  <c r="M34" i="27"/>
  <c r="O34" i="27" s="1"/>
  <c r="M29" i="27"/>
  <c r="O29" i="27" s="1"/>
  <c r="M31" i="27"/>
  <c r="O31" i="27" s="1"/>
  <c r="M35" i="27"/>
  <c r="O35" i="27" s="1"/>
  <c r="M30" i="27"/>
  <c r="O30" i="27" s="1"/>
  <c r="M32" i="27"/>
  <c r="O32" i="27" s="1"/>
  <c r="M36" i="27"/>
  <c r="O36" i="27" s="1"/>
  <c r="M28" i="27"/>
  <c r="O28" i="27" s="1"/>
  <c r="P40" i="27"/>
  <c r="O42" i="27"/>
  <c r="O41" i="27"/>
  <c r="O39" i="27"/>
  <c r="H34" i="26"/>
  <c r="I34" i="26" s="1"/>
  <c r="H39" i="26"/>
  <c r="I39" i="26" s="1"/>
  <c r="H36" i="26"/>
  <c r="I36" i="26" s="1"/>
  <c r="H40" i="26"/>
  <c r="I40" i="26" s="1"/>
  <c r="H42" i="26"/>
  <c r="I42" i="26" s="1"/>
  <c r="H35" i="26"/>
  <c r="I35" i="26" s="1"/>
  <c r="H37" i="26"/>
  <c r="I37" i="26" s="1"/>
  <c r="H44" i="26"/>
  <c r="I44" i="26" s="1"/>
  <c r="H43" i="26"/>
  <c r="I43" i="26" s="1"/>
  <c r="H38" i="26"/>
  <c r="I38" i="26" s="1"/>
  <c r="H39" i="25"/>
  <c r="I39" i="25" s="1"/>
  <c r="H33" i="25"/>
  <c r="I33" i="25" s="1"/>
  <c r="H35" i="25"/>
  <c r="I35" i="25" s="1"/>
  <c r="H38" i="25"/>
  <c r="I38" i="25" s="1"/>
  <c r="H32" i="25"/>
  <c r="I32" i="25" s="1"/>
  <c r="H37" i="25"/>
  <c r="I37" i="25" s="1"/>
  <c r="H31" i="25"/>
  <c r="I31" i="25" s="1"/>
  <c r="H36" i="25"/>
  <c r="I36" i="25" s="1"/>
  <c r="H30" i="25"/>
  <c r="I30" i="25" s="1"/>
  <c r="H40" i="25"/>
  <c r="I40" i="25" s="1"/>
  <c r="H41" i="25"/>
  <c r="I41" i="25" s="1"/>
  <c r="V30" i="18"/>
  <c r="V31" i="18"/>
  <c r="V32" i="18"/>
  <c r="V33" i="18"/>
  <c r="V34" i="18"/>
  <c r="V35" i="18"/>
  <c r="V36" i="18"/>
  <c r="V37" i="18"/>
  <c r="V38" i="18"/>
  <c r="V39" i="18"/>
  <c r="V40" i="18"/>
  <c r="V29" i="18"/>
  <c r="P37" i="27" l="1"/>
  <c r="P32" i="27"/>
  <c r="P34" i="27"/>
  <c r="P30" i="27"/>
  <c r="P36" i="27"/>
  <c r="P41" i="27"/>
  <c r="P31" i="27"/>
  <c r="P29" i="27"/>
  <c r="P42" i="27"/>
  <c r="P33" i="27"/>
  <c r="P39" i="27"/>
  <c r="P28" i="27"/>
  <c r="P35" i="27"/>
  <c r="P43" i="27" l="1"/>
  <c r="P38" i="27"/>
  <c r="F30" i="18"/>
  <c r="F31" i="18"/>
  <c r="F32" i="18"/>
  <c r="F33" i="18"/>
  <c r="F34" i="18"/>
  <c r="F35" i="18"/>
  <c r="F36" i="18"/>
  <c r="F29" i="18"/>
  <c r="P46" i="27" l="1"/>
  <c r="Q29" i="27" s="1"/>
  <c r="O46" i="27"/>
  <c r="P47" i="27"/>
  <c r="Q41" i="27" s="1"/>
  <c r="R41" i="27" s="1"/>
  <c r="O47" i="27"/>
  <c r="Q37" i="27"/>
  <c r="Q30" i="27"/>
  <c r="Q33" i="27"/>
  <c r="Q31" i="27" l="1"/>
  <c r="T31" i="27" s="1"/>
  <c r="Q39" i="27"/>
  <c r="R39" i="27" s="1"/>
  <c r="Q40" i="27"/>
  <c r="Q32" i="27"/>
  <c r="T32" i="27" s="1"/>
  <c r="Q34" i="27"/>
  <c r="R34" i="27" s="1"/>
  <c r="Q28" i="27"/>
  <c r="R28" i="27" s="1"/>
  <c r="Q35" i="27"/>
  <c r="R35" i="27" s="1"/>
  <c r="Q36" i="27"/>
  <c r="T36" i="27" s="1"/>
  <c r="Q42" i="27"/>
  <c r="T42" i="27" s="1"/>
  <c r="T33" i="27"/>
  <c r="R29" i="27"/>
  <c r="T41" i="27"/>
  <c r="T30" i="27"/>
  <c r="R30" i="27"/>
  <c r="K30" i="18"/>
  <c r="K31" i="18"/>
  <c r="K32" i="18"/>
  <c r="K33" i="18"/>
  <c r="K34" i="18"/>
  <c r="K35" i="18"/>
  <c r="K36" i="18"/>
  <c r="K37" i="18"/>
  <c r="K38" i="18"/>
  <c r="K39" i="18"/>
  <c r="K40" i="18"/>
  <c r="K29" i="18"/>
  <c r="I30" i="18"/>
  <c r="I31" i="18"/>
  <c r="I32" i="18"/>
  <c r="I33" i="18"/>
  <c r="I34" i="18"/>
  <c r="I35" i="18"/>
  <c r="I36" i="18"/>
  <c r="T40" i="27" l="1"/>
  <c r="R40" i="27"/>
  <c r="R32" i="27"/>
  <c r="T34" i="27"/>
  <c r="R42" i="27"/>
  <c r="T29" i="27"/>
  <c r="R33" i="27"/>
  <c r="T39" i="27"/>
  <c r="R31" i="27"/>
  <c r="R36" i="27"/>
  <c r="T28" i="27"/>
  <c r="T35" i="27"/>
  <c r="R37" i="27"/>
  <c r="T37" i="27"/>
  <c r="F39" i="18"/>
  <c r="I39" i="18" s="1"/>
  <c r="F37" i="18"/>
  <c r="I37" i="18" s="1"/>
  <c r="F40" i="18"/>
  <c r="I40" i="18" s="1"/>
  <c r="F38" i="18"/>
  <c r="I38" i="18" s="1"/>
  <c r="R43" i="27" l="1"/>
  <c r="R38" i="27"/>
  <c r="I29" i="18"/>
  <c r="D41" i="18"/>
  <c r="F41" i="18" s="1"/>
  <c r="M36" i="18" s="1"/>
  <c r="O36" i="18" s="1"/>
  <c r="P36" i="18" s="1"/>
  <c r="M32" i="18" l="1"/>
  <c r="O32" i="18" s="1"/>
  <c r="P32" i="18" s="1"/>
  <c r="M33" i="18"/>
  <c r="O33" i="18" s="1"/>
  <c r="P33" i="18" s="1"/>
  <c r="M38" i="18"/>
  <c r="O38" i="18" s="1"/>
  <c r="P38" i="18" s="1"/>
  <c r="M29" i="18"/>
  <c r="O29" i="18" s="1"/>
  <c r="M40" i="18"/>
  <c r="O40" i="18" s="1"/>
  <c r="P40" i="18" s="1"/>
  <c r="M34" i="18"/>
  <c r="O34" i="18" s="1"/>
  <c r="P34" i="18" s="1"/>
  <c r="M35" i="18"/>
  <c r="O35" i="18" s="1"/>
  <c r="P35" i="18" s="1"/>
  <c r="M37" i="18"/>
  <c r="O37" i="18" s="1"/>
  <c r="P37" i="18" s="1"/>
  <c r="M30" i="18"/>
  <c r="O30" i="18" s="1"/>
  <c r="P30" i="18" s="1"/>
  <c r="M31" i="18"/>
  <c r="O31" i="18" s="1"/>
  <c r="P31" i="18" s="1"/>
  <c r="M39" i="18"/>
  <c r="O39" i="18" s="1"/>
  <c r="P39" i="18" s="1"/>
  <c r="P29" i="18" l="1"/>
  <c r="P41" i="18" s="1"/>
  <c r="O43" i="18" s="1"/>
  <c r="P43" i="18" l="1"/>
  <c r="Q29" i="18" s="1"/>
  <c r="Q37" i="18" l="1"/>
  <c r="T37" i="18" s="1"/>
  <c r="Q34" i="18"/>
  <c r="R34" i="18" s="1"/>
  <c r="Q39" i="18"/>
  <c r="T39" i="18" s="1"/>
  <c r="Q33" i="18"/>
  <c r="T33" i="18" s="1"/>
  <c r="Q40" i="18"/>
  <c r="R40" i="18" s="1"/>
  <c r="Q30" i="18"/>
  <c r="T30" i="18" s="1"/>
  <c r="Q38" i="18"/>
  <c r="R38" i="18" s="1"/>
  <c r="Q36" i="18"/>
  <c r="R36" i="18" s="1"/>
  <c r="Q31" i="18"/>
  <c r="T31" i="18" s="1"/>
  <c r="Q32" i="18"/>
  <c r="R32" i="18" s="1"/>
  <c r="Q35" i="18"/>
  <c r="R35" i="18" s="1"/>
  <c r="R29" i="18"/>
  <c r="T29" i="18"/>
  <c r="R30" i="18" l="1"/>
  <c r="T38" i="18"/>
  <c r="R33" i="18"/>
  <c r="R39" i="18"/>
  <c r="T34" i="18"/>
  <c r="R37" i="18"/>
  <c r="T40" i="18"/>
  <c r="T36" i="18"/>
  <c r="R31" i="18"/>
  <c r="T35" i="18"/>
  <c r="T32" i="18"/>
  <c r="R41" i="18" l="1"/>
  <c r="T37" i="37"/>
  <c r="W37" i="37" s="1"/>
</calcChain>
</file>

<file path=xl/sharedStrings.xml><?xml version="1.0" encoding="utf-8"?>
<sst xmlns="http://schemas.openxmlformats.org/spreadsheetml/2006/main" count="1727" uniqueCount="322">
  <si>
    <t>Segment 1</t>
  </si>
  <si>
    <t>Segment 2</t>
  </si>
  <si>
    <t>Credibility</t>
  </si>
  <si>
    <t>Aggregate</t>
  </si>
  <si>
    <t>Segment 3</t>
  </si>
  <si>
    <t>Segment 4</t>
  </si>
  <si>
    <t>(1)</t>
  </si>
  <si>
    <t>(2)</t>
  </si>
  <si>
    <t>(3)</t>
  </si>
  <si>
    <t>(4)</t>
  </si>
  <si>
    <t>(5)</t>
  </si>
  <si>
    <t>(6)</t>
  </si>
  <si>
    <t>(7)</t>
  </si>
  <si>
    <t>(8)</t>
  </si>
  <si>
    <t>(9)</t>
  </si>
  <si>
    <t>Segment 5</t>
  </si>
  <si>
    <t>Segment 6</t>
  </si>
  <si>
    <t>Segment 7</t>
  </si>
  <si>
    <t>Segment 8</t>
  </si>
  <si>
    <t>Segment 9</t>
  </si>
  <si>
    <t>Segment 10</t>
  </si>
  <si>
    <t>Segment 11</t>
  </si>
  <si>
    <t>Segment 12</t>
  </si>
  <si>
    <t>A/E</t>
  </si>
  <si>
    <t>Actual Claim Amounts</t>
  </si>
  <si>
    <t>(10)</t>
  </si>
  <si>
    <t>(11)</t>
  </si>
  <si>
    <t>MNS Ultra Preferred</t>
  </si>
  <si>
    <t>MNS Super Preferred</t>
  </si>
  <si>
    <t>MNS Preferred</t>
  </si>
  <si>
    <t>MSM Preferred</t>
  </si>
  <si>
    <t>FNS Ultra Preferred</t>
  </si>
  <si>
    <t>FNS Super Preferred</t>
  </si>
  <si>
    <t>FNS Preferred</t>
  </si>
  <si>
    <t>FSM Preferred</t>
  </si>
  <si>
    <t>(12)</t>
  </si>
  <si>
    <t>(13)</t>
  </si>
  <si>
    <t>(14)</t>
  </si>
  <si>
    <t>All Segments Combined</t>
  </si>
  <si>
    <t>Calculate A/E:</t>
  </si>
  <si>
    <t>Credibility Complement</t>
  </si>
  <si>
    <t>Aggregate A/E</t>
  </si>
  <si>
    <t>Description</t>
  </si>
  <si>
    <t>Groups of Policies</t>
  </si>
  <si>
    <t>Calculate Credibility-Weighted A/E (CW A/E):</t>
  </si>
  <si>
    <t>*</t>
  </si>
  <si>
    <t>+</t>
  </si>
  <si>
    <t>=</t>
  </si>
  <si>
    <t>(1 - Credibility)</t>
  </si>
  <si>
    <t>Comparisons of Examples</t>
  </si>
  <si>
    <t>Uses relativities to subdivide the aggregate experience into mortality segments.</t>
  </si>
  <si>
    <t>Uses credibility weighting to adjust the experience of each mortality segment to reflect the aggregate experience.</t>
  </si>
  <si>
    <t>CW A/E</t>
  </si>
  <si>
    <t>NCW A/E</t>
  </si>
  <si>
    <t>Normalized Expected Claim Amounts</t>
  </si>
  <si>
    <t>Assumption:</t>
  </si>
  <si>
    <t>Set Anticipated Experience</t>
  </si>
  <si>
    <t>Col (4)
* Col (11)</t>
  </si>
  <si>
    <t>Col (11) 
* NR</t>
  </si>
  <si>
    <t>Col (4)
* Col (13)</t>
  </si>
  <si>
    <t>Company Experience Mortality Rates</t>
  </si>
  <si>
    <t>of</t>
  </si>
  <si>
    <t xml:space="preserve">        (15)</t>
  </si>
  <si>
    <t>CW 
Expected Claim Amounts</t>
  </si>
  <si>
    <t>Normalize the CW A/E and the</t>
  </si>
  <si>
    <t>CW Expected Claim Amounts to</t>
  </si>
  <si>
    <t>Achieve Conservation of Deaths:</t>
  </si>
  <si>
    <t>Aggregate Credibility:</t>
  </si>
  <si>
    <t>MNS RR 70</t>
  </si>
  <si>
    <t>MNS RR 80</t>
  </si>
  <si>
    <t>MNS RR 90</t>
  </si>
  <si>
    <t>MNS RR 110</t>
  </si>
  <si>
    <t>MSM RR 75</t>
  </si>
  <si>
    <t>MSM RR 125</t>
  </si>
  <si>
    <t>FNS RR 70</t>
  </si>
  <si>
    <t>FNS RR 80</t>
  </si>
  <si>
    <t>FNS RR 90</t>
  </si>
  <si>
    <t>FNS RR 110</t>
  </si>
  <si>
    <t>FSM RR 75</t>
  </si>
  <si>
    <t>FSM RR 125</t>
  </si>
  <si>
    <t>for Aggregation:</t>
  </si>
  <si>
    <t>Identify Segments</t>
  </si>
  <si>
    <t>Methodology</t>
  </si>
  <si>
    <t>Source of experience data</t>
  </si>
  <si>
    <t>Conservation of deaths</t>
  </si>
  <si>
    <t>Prudent estimate assumptions</t>
  </si>
  <si>
    <t>Updates based on new experience studies</t>
  </si>
  <si>
    <t>Conservation of deaths is maintained using the normalization process, such that the total amount of expected claims is not less than the aggregate.</t>
  </si>
  <si>
    <t>Anticipated experience assumptions are likely to be different by approach, but prescribed margins would be the same if the same level of aggregation is used to determine credibility.</t>
  </si>
  <si>
    <t>MSM RR 100</t>
  </si>
  <si>
    <t>Mortality 
Table based on RR Tool:
2015 VBT ALB</t>
  </si>
  <si>
    <t>FSM RR 100</t>
  </si>
  <si>
    <t>FSM RR 150</t>
  </si>
  <si>
    <t>Level:</t>
  </si>
  <si>
    <t>Aggregation</t>
  </si>
  <si>
    <t>All</t>
  </si>
  <si>
    <t>Aggregation Level</t>
  </si>
  <si>
    <t xml:space="preserve">Normalize the RB A/E and </t>
  </si>
  <si>
    <t xml:space="preserve">Expected Claim Amounts to </t>
  </si>
  <si>
    <t>Level</t>
  </si>
  <si>
    <t>A/E:</t>
  </si>
  <si>
    <t xml:space="preserve">Calculate Relativity Structure (here based on </t>
  </si>
  <si>
    <t xml:space="preserve">RR Tool output), Expected Claims, </t>
  </si>
  <si>
    <t>segment-level A/E, and aggregate A/E:</t>
  </si>
  <si>
    <t>Chosen Level of Aggregation</t>
  </si>
  <si>
    <t>A/E for the Aggregate Class</t>
  </si>
  <si>
    <t>Relativity Based Expected Claim Amounts</t>
  </si>
  <si>
    <t>Expected Relativity Structure</t>
  </si>
  <si>
    <t>All Non-Smoker</t>
  </si>
  <si>
    <t>All Smoker</t>
  </si>
  <si>
    <t>Non-Smoker</t>
  </si>
  <si>
    <t>Smoker</t>
  </si>
  <si>
    <t>Aggregate Non-Smoker Credibility:</t>
  </si>
  <si>
    <t>Aggregate Smoker Credibility:</t>
  </si>
  <si>
    <t xml:space="preserve">MNS Standard </t>
  </si>
  <si>
    <t>MSM Standard</t>
  </si>
  <si>
    <t xml:space="preserve">FNS Standard </t>
  </si>
  <si>
    <t>FSM Standard</t>
  </si>
  <si>
    <t>Uses a company experience study A/E for the aggregate class(es), along with pre-defined expected relativities between mortality segments determined from a reliable and applicable external source.</t>
  </si>
  <si>
    <t>Uses company experience study A/E and credibility results for all individual mortality segments and for the aggregate class.</t>
  </si>
  <si>
    <t>Relativistic Method ("Top Down") Example</t>
  </si>
  <si>
    <t>Weighting Method ("Bottom Up") Example</t>
  </si>
  <si>
    <t>The aggregate class and individual mortality segment credibilities and A/E ratios must be updated based on each new company experience study.</t>
  </si>
  <si>
    <t>MNS Super Preferred, FUW</t>
  </si>
  <si>
    <t>MNS Preferred, FUW</t>
  </si>
  <si>
    <t>MNS Standard, FUW</t>
  </si>
  <si>
    <t>MNS Standard, SI</t>
  </si>
  <si>
    <t>MSM Preferred, FUW</t>
  </si>
  <si>
    <t>MSM Standard, FUW</t>
  </si>
  <si>
    <t>MSM Standard, SI</t>
  </si>
  <si>
    <t>FNS Super Preferred, FUW</t>
  </si>
  <si>
    <t>FNS Preferred, FUW</t>
  </si>
  <si>
    <t>FNS Standard, FUW</t>
  </si>
  <si>
    <t>FNS Standard, SI</t>
  </si>
  <si>
    <t>FSM Preferred, FUW</t>
  </si>
  <si>
    <t>FSM Standard, FUW</t>
  </si>
  <si>
    <t>FSM Standard, SI</t>
  </si>
  <si>
    <t>All Fully Underwritten</t>
  </si>
  <si>
    <t>All Simplified Issue</t>
  </si>
  <si>
    <t>Mortality 
Table based on RR Tool for FUW, 2008 VBT LU for SI</t>
  </si>
  <si>
    <t>2015 VBT MNS RR 80</t>
  </si>
  <si>
    <t>2015 VBT MNS RR 90</t>
  </si>
  <si>
    <t>2015 VBT MSM RR 75</t>
  </si>
  <si>
    <t>2015 VBT MSM RR 125</t>
  </si>
  <si>
    <t>2015 VBT FNS RR 70</t>
  </si>
  <si>
    <t>2015 VBT FNS RR 80</t>
  </si>
  <si>
    <t>2015 VBT FSM RR 75</t>
  </si>
  <si>
    <t>2008 VBT LU MSM</t>
  </si>
  <si>
    <t>2008 VBT LU FNS</t>
  </si>
  <si>
    <t>2008 VBT LU FSM</t>
  </si>
  <si>
    <t>2015 VBT FSM RR 125</t>
  </si>
  <si>
    <t>2015 VBT FNS RR 110</t>
  </si>
  <si>
    <t>2015 VBT MNS RR 100</t>
  </si>
  <si>
    <t>2008 VBT LU MNS</t>
  </si>
  <si>
    <t>MNS</t>
  </si>
  <si>
    <t>MSM</t>
  </si>
  <si>
    <t>FNS</t>
  </si>
  <si>
    <t>FSM</t>
  </si>
  <si>
    <t>Anchor</t>
  </si>
  <si>
    <t>Anchor A/E</t>
  </si>
  <si>
    <t>Expected Relativity to Anchor</t>
  </si>
  <si>
    <t>Calculate Relativity-Based A/E</t>
  </si>
  <si>
    <t>(RB A/E):</t>
  </si>
  <si>
    <t>Anchor Segment</t>
  </si>
  <si>
    <t>Segment:</t>
  </si>
  <si>
    <t>Chosen Anchor Segment</t>
  </si>
  <si>
    <t>Anchor Segment A/E</t>
  </si>
  <si>
    <t>Relativity to Anchor after Normalization</t>
  </si>
  <si>
    <t>(15)</t>
  </si>
  <si>
    <t xml:space="preserve">        (16)</t>
  </si>
  <si>
    <t>Col (12) 
* NR</t>
  </si>
  <si>
    <t>Aggregate MSM Credibility:</t>
  </si>
  <si>
    <t>Aggregate MNS Credibility:</t>
  </si>
  <si>
    <t>Aggregate FNS Credibility:</t>
  </si>
  <si>
    <t>Aggregate FSM Credibility:</t>
  </si>
  <si>
    <t>Col (13) * Col(3)</t>
  </si>
  <si>
    <t>Col (5) / Col (4)</t>
  </si>
  <si>
    <t>Segment 13</t>
  </si>
  <si>
    <t>Segment 14</t>
  </si>
  <si>
    <t>Col (8) * Col (3)</t>
  </si>
  <si>
    <t xml:space="preserve">        (9)</t>
  </si>
  <si>
    <t>(From Relevant, Reliable Source)</t>
  </si>
  <si>
    <t>Col (11) 
* Col (4), scaled for anchor base table</t>
  </si>
  <si>
    <r>
      <t>(</t>
    </r>
    <r>
      <rPr>
        <sz val="11"/>
        <color rgb="FFFF0000"/>
        <rFont val="Calibri"/>
        <family val="2"/>
        <scheme val="minor"/>
      </rPr>
      <t>Incorrectly Based on Historical A/E's</t>
    </r>
    <r>
      <rPr>
        <sz val="11"/>
        <color theme="1"/>
        <rFont val="Calibri"/>
        <family val="2"/>
        <scheme val="minor"/>
      </rPr>
      <t>)</t>
    </r>
  </si>
  <si>
    <r>
      <rPr>
        <b/>
        <sz val="11"/>
        <color rgb="FFFF0000"/>
        <rFont val="Calibri"/>
        <family val="2"/>
        <scheme val="minor"/>
      </rPr>
      <t>External</t>
    </r>
    <r>
      <rPr>
        <b/>
        <sz val="11"/>
        <color theme="1"/>
        <rFont val="Calibri"/>
        <family val="2"/>
        <scheme val="minor"/>
      </rPr>
      <t xml:space="preserve"> A/E</t>
    </r>
  </si>
  <si>
    <t>Example 1 using Relativistic Method Aggregation (VM-20 Section 9.C.2.d.vi.a):</t>
  </si>
  <si>
    <t>Example 2 using Relativistic Method Aggregation (VM-20 Section 9.C.2.d.vi.a):</t>
  </si>
  <si>
    <r>
      <t>Example 4</t>
    </r>
    <r>
      <rPr>
        <b/>
        <sz val="14"/>
        <rFont val="Calibri"/>
        <family val="2"/>
        <scheme val="minor"/>
      </rPr>
      <t xml:space="preserve"> of what </t>
    </r>
    <r>
      <rPr>
        <b/>
        <sz val="14"/>
        <color rgb="FFFF0000"/>
        <rFont val="Calibri"/>
        <family val="2"/>
        <scheme val="minor"/>
      </rPr>
      <t xml:space="preserve">Would not Comply with the Valuation Manual </t>
    </r>
    <r>
      <rPr>
        <b/>
        <sz val="14"/>
        <rFont val="Calibri"/>
        <family val="2"/>
        <scheme val="minor"/>
      </rPr>
      <t>for Rela</t>
    </r>
    <r>
      <rPr>
        <b/>
        <sz val="14"/>
        <color theme="1"/>
        <rFont val="Calibri"/>
        <family val="2"/>
        <scheme val="minor"/>
      </rPr>
      <t>tivistic Method Aggregation (VM-20 Section 9.C.2.d.vi.a):</t>
    </r>
  </si>
  <si>
    <t>Col (13), scaled back to segment base table * Col (3)</t>
  </si>
  <si>
    <r>
      <t>Sum(Exposure * q</t>
    </r>
    <r>
      <rPr>
        <vertAlign val="subscript"/>
        <sz val="11"/>
        <color theme="1"/>
        <rFont val="Calibri"/>
        <family val="2"/>
        <scheme val="minor"/>
      </rPr>
      <t xml:space="preserve">x </t>
    </r>
    <r>
      <rPr>
        <sz val="11"/>
        <color theme="1"/>
        <rFont val="Calibri"/>
        <family val="2"/>
        <scheme val="minor"/>
      </rPr>
      <t>* Face Amount) based on select and ultimate table for all policies</t>
    </r>
  </si>
  <si>
    <t>Example 5 using Weighting Method (VM-20 Section 9.C.2.d.vi.b):</t>
  </si>
  <si>
    <t>Example 6 using Weighting Method (VM-20 Section 9.C.2.d.vi.b):</t>
  </si>
  <si>
    <r>
      <t xml:space="preserve">Example 7 of what </t>
    </r>
    <r>
      <rPr>
        <b/>
        <sz val="14"/>
        <color rgb="FFFF0000"/>
        <rFont val="Calibri"/>
        <family val="2"/>
        <scheme val="minor"/>
      </rPr>
      <t>Would not Comply with the Valuation Manual</t>
    </r>
    <r>
      <rPr>
        <b/>
        <sz val="14"/>
        <color theme="1"/>
        <rFont val="Calibri"/>
        <family val="2"/>
        <scheme val="minor"/>
      </rPr>
      <t xml:space="preserve"> for Weighting Method (VM-20 Section 9.C.2.d.vi.b):</t>
    </r>
  </si>
  <si>
    <r>
      <t>Normalized A'/E</t>
    </r>
    <r>
      <rPr>
        <b/>
        <vertAlign val="subscript"/>
        <sz val="11"/>
        <color theme="1"/>
        <rFont val="Calibri"/>
        <family val="2"/>
        <scheme val="minor"/>
      </rPr>
      <t>B</t>
    </r>
    <r>
      <rPr>
        <b/>
        <sz val="11"/>
        <color theme="1"/>
        <rFont val="Calibri"/>
        <family val="2"/>
        <scheme val="minor"/>
      </rPr>
      <t xml:space="preserve">  (relative to anchor class base table)</t>
    </r>
  </si>
  <si>
    <r>
      <t>RB A'/E</t>
    </r>
    <r>
      <rPr>
        <b/>
        <vertAlign val="subscript"/>
        <sz val="11"/>
        <color theme="1"/>
        <rFont val="Calibri"/>
        <family val="2"/>
        <scheme val="minor"/>
      </rPr>
      <t>B</t>
    </r>
    <r>
      <rPr>
        <b/>
        <sz val="11"/>
        <color theme="1"/>
        <rFont val="Calibri"/>
        <family val="2"/>
        <scheme val="minor"/>
      </rPr>
      <t xml:space="preserve"> (relative to anchor class base table)</t>
    </r>
  </si>
  <si>
    <r>
      <t>Relativity-Based A'/E</t>
    </r>
    <r>
      <rPr>
        <vertAlign val="subscript"/>
        <sz val="11"/>
        <color theme="1"/>
        <rFont val="Calibri"/>
        <family val="2"/>
        <scheme val="minor"/>
      </rPr>
      <t>B</t>
    </r>
  </si>
  <si>
    <t>Col (9) 
* Col (10)</t>
  </si>
  <si>
    <r>
      <t>Normalized A</t>
    </r>
    <r>
      <rPr>
        <b/>
        <vertAlign val="subscript"/>
        <sz val="11"/>
        <color theme="1"/>
        <rFont val="Calibri"/>
        <family val="2"/>
        <scheme val="minor"/>
      </rPr>
      <t>S</t>
    </r>
    <r>
      <rPr>
        <b/>
        <sz val="11"/>
        <color theme="1"/>
        <rFont val="Calibri"/>
        <family val="2"/>
        <scheme val="minor"/>
      </rPr>
      <t>'</t>
    </r>
  </si>
  <si>
    <t>Calculate Relativity-Based A/E (RB A/E):</t>
  </si>
  <si>
    <r>
      <t>RB A/E = A</t>
    </r>
    <r>
      <rPr>
        <b/>
        <vertAlign val="subscript"/>
        <sz val="11"/>
        <color theme="1"/>
        <rFont val="Calibri"/>
        <family val="2"/>
        <scheme val="minor"/>
      </rPr>
      <t>S</t>
    </r>
    <r>
      <rPr>
        <b/>
        <sz val="11"/>
        <color theme="1"/>
        <rFont val="Calibri"/>
        <family val="2"/>
        <scheme val="minor"/>
      </rPr>
      <t>'/E</t>
    </r>
    <r>
      <rPr>
        <b/>
        <vertAlign val="subscript"/>
        <sz val="11"/>
        <color theme="1"/>
        <rFont val="Calibri"/>
        <family val="2"/>
        <scheme val="minor"/>
      </rPr>
      <t>S</t>
    </r>
    <r>
      <rPr>
        <b/>
        <vertAlign val="superscript"/>
        <sz val="11"/>
        <color theme="1"/>
        <rFont val="Calibri"/>
        <family val="2"/>
        <scheme val="minor"/>
      </rPr>
      <t>Scaled</t>
    </r>
    <r>
      <rPr>
        <b/>
        <sz val="11"/>
        <color theme="1"/>
        <rFont val="Calibri"/>
        <family val="2"/>
        <scheme val="minor"/>
      </rPr>
      <t xml:space="preserve"> = (A</t>
    </r>
    <r>
      <rPr>
        <b/>
        <vertAlign val="subscript"/>
        <sz val="11"/>
        <color theme="1"/>
        <rFont val="Calibri"/>
        <family val="2"/>
        <scheme val="minor"/>
      </rPr>
      <t>B</t>
    </r>
    <r>
      <rPr>
        <b/>
        <sz val="11"/>
        <color theme="1"/>
        <rFont val="Calibri"/>
        <family val="2"/>
        <scheme val="minor"/>
      </rPr>
      <t>/E</t>
    </r>
    <r>
      <rPr>
        <b/>
        <vertAlign val="subscript"/>
        <sz val="11"/>
        <color theme="1"/>
        <rFont val="Calibri"/>
        <family val="2"/>
        <scheme val="minor"/>
      </rPr>
      <t>B</t>
    </r>
    <r>
      <rPr>
        <b/>
        <sz val="11"/>
        <color theme="1"/>
        <rFont val="Calibri"/>
        <family val="2"/>
        <scheme val="minor"/>
      </rPr>
      <t>)*R</t>
    </r>
    <r>
      <rPr>
        <b/>
        <vertAlign val="subscript"/>
        <sz val="11"/>
        <color theme="1"/>
        <rFont val="Calibri"/>
        <family val="2"/>
        <scheme val="minor"/>
      </rPr>
      <t>S</t>
    </r>
  </si>
  <si>
    <t>then Normalize to Achieve Conservation of Deaths</t>
  </si>
  <si>
    <r>
      <t>Calculate E</t>
    </r>
    <r>
      <rPr>
        <b/>
        <vertAlign val="subscript"/>
        <sz val="11"/>
        <color theme="1"/>
        <rFont val="Calibri"/>
        <family val="2"/>
        <scheme val="minor"/>
      </rPr>
      <t>S</t>
    </r>
    <r>
      <rPr>
        <b/>
        <vertAlign val="superscript"/>
        <sz val="11"/>
        <color theme="1"/>
        <rFont val="Calibri"/>
        <family val="2"/>
        <scheme val="minor"/>
      </rPr>
      <t>Scaled</t>
    </r>
    <r>
      <rPr>
        <b/>
        <sz val="11"/>
        <color theme="1"/>
        <rFont val="Calibri"/>
        <family val="2"/>
        <scheme val="minor"/>
      </rPr>
      <t xml:space="preserve"> and Solve for A</t>
    </r>
    <r>
      <rPr>
        <b/>
        <vertAlign val="subscript"/>
        <sz val="11"/>
        <color theme="1"/>
        <rFont val="Calibri"/>
        <family val="2"/>
        <scheme val="minor"/>
      </rPr>
      <t>S</t>
    </r>
    <r>
      <rPr>
        <b/>
        <sz val="11"/>
        <color theme="1"/>
        <rFont val="Calibri"/>
        <family val="2"/>
        <scheme val="minor"/>
      </rPr>
      <t>',</t>
    </r>
  </si>
  <si>
    <t>and Confirm that the Relativities Hold:</t>
  </si>
  <si>
    <r>
      <t>E</t>
    </r>
    <r>
      <rPr>
        <b/>
        <vertAlign val="subscript"/>
        <sz val="11"/>
        <color theme="1"/>
        <rFont val="Calibri"/>
        <family val="2"/>
        <scheme val="minor"/>
      </rPr>
      <t>S</t>
    </r>
    <r>
      <rPr>
        <b/>
        <vertAlign val="superscript"/>
        <sz val="11"/>
        <color theme="1"/>
        <rFont val="Calibri"/>
        <family val="2"/>
        <scheme val="minor"/>
      </rPr>
      <t>Scaled</t>
    </r>
    <r>
      <rPr>
        <b/>
        <sz val="11"/>
        <color theme="1"/>
        <rFont val="Calibri"/>
        <family val="2"/>
        <scheme val="minor"/>
      </rPr>
      <t xml:space="preserve"> = E</t>
    </r>
    <r>
      <rPr>
        <b/>
        <vertAlign val="subscript"/>
        <sz val="11"/>
        <color theme="1"/>
        <rFont val="Calibri"/>
        <family val="2"/>
        <scheme val="minor"/>
      </rPr>
      <t>S</t>
    </r>
    <r>
      <rPr>
        <b/>
        <sz val="11"/>
        <color theme="1"/>
        <rFont val="Calibri"/>
        <family val="2"/>
        <scheme val="minor"/>
      </rPr>
      <t>*(RR</t>
    </r>
    <r>
      <rPr>
        <b/>
        <vertAlign val="subscript"/>
        <sz val="11"/>
        <color theme="1"/>
        <rFont val="Calibri"/>
        <family val="2"/>
        <scheme val="minor"/>
      </rPr>
      <t>B</t>
    </r>
    <r>
      <rPr>
        <b/>
        <sz val="11"/>
        <color theme="1"/>
        <rFont val="Calibri"/>
        <family val="2"/>
        <scheme val="minor"/>
      </rPr>
      <t>/RR</t>
    </r>
    <r>
      <rPr>
        <b/>
        <vertAlign val="subscript"/>
        <sz val="11"/>
        <color theme="1"/>
        <rFont val="Calibri"/>
        <family val="2"/>
        <scheme val="minor"/>
      </rPr>
      <t>S</t>
    </r>
    <r>
      <rPr>
        <b/>
        <sz val="11"/>
        <color theme="1"/>
        <rFont val="Calibri"/>
        <family val="2"/>
        <scheme val="minor"/>
      </rPr>
      <t>)</t>
    </r>
  </si>
  <si>
    <r>
      <t>Relativity-Based A/E
[(A</t>
    </r>
    <r>
      <rPr>
        <b/>
        <vertAlign val="subscript"/>
        <sz val="11"/>
        <color theme="1"/>
        <rFont val="Calibri"/>
        <family val="2"/>
        <scheme val="minor"/>
      </rPr>
      <t>B</t>
    </r>
    <r>
      <rPr>
        <b/>
        <sz val="11"/>
        <color theme="1"/>
        <rFont val="Calibri"/>
        <family val="2"/>
        <scheme val="minor"/>
      </rPr>
      <t>/E</t>
    </r>
    <r>
      <rPr>
        <b/>
        <vertAlign val="subscript"/>
        <sz val="11"/>
        <color theme="1"/>
        <rFont val="Calibri"/>
        <family val="2"/>
        <scheme val="minor"/>
      </rPr>
      <t>B</t>
    </r>
    <r>
      <rPr>
        <b/>
        <sz val="11"/>
        <color theme="1"/>
        <rFont val="Calibri"/>
        <family val="2"/>
        <scheme val="minor"/>
      </rPr>
      <t>)*R</t>
    </r>
    <r>
      <rPr>
        <b/>
        <vertAlign val="subscript"/>
        <sz val="11"/>
        <color theme="1"/>
        <rFont val="Calibri"/>
        <family val="2"/>
        <scheme val="minor"/>
      </rPr>
      <t>S</t>
    </r>
    <r>
      <rPr>
        <b/>
        <sz val="11"/>
        <color theme="1"/>
        <rFont val="Calibri"/>
        <family val="2"/>
        <scheme val="minor"/>
      </rPr>
      <t>]</t>
    </r>
  </si>
  <si>
    <r>
      <t>Actual Claim Amounts
(A</t>
    </r>
    <r>
      <rPr>
        <b/>
        <vertAlign val="subscript"/>
        <sz val="11"/>
        <color theme="1"/>
        <rFont val="Calibri"/>
        <family val="2"/>
        <scheme val="minor"/>
      </rPr>
      <t>S</t>
    </r>
    <r>
      <rPr>
        <b/>
        <sz val="11"/>
        <color theme="1"/>
        <rFont val="Calibri"/>
        <family val="2"/>
        <scheme val="minor"/>
      </rPr>
      <t>)</t>
    </r>
  </si>
  <si>
    <t>Base Segment</t>
  </si>
  <si>
    <r>
      <t>Base A/E (A</t>
    </r>
    <r>
      <rPr>
        <b/>
        <vertAlign val="subscript"/>
        <sz val="11"/>
        <color theme="1"/>
        <rFont val="Calibri"/>
        <family val="2"/>
        <scheme val="minor"/>
      </rPr>
      <t>B</t>
    </r>
    <r>
      <rPr>
        <b/>
        <sz val="11"/>
        <color theme="1"/>
        <rFont val="Calibri"/>
        <family val="2"/>
        <scheme val="minor"/>
      </rPr>
      <t>/E</t>
    </r>
    <r>
      <rPr>
        <b/>
        <vertAlign val="subscript"/>
        <sz val="11"/>
        <color theme="1"/>
        <rFont val="Calibri"/>
        <family val="2"/>
        <scheme val="minor"/>
      </rPr>
      <t>B</t>
    </r>
    <r>
      <rPr>
        <b/>
        <sz val="11"/>
        <color theme="1"/>
        <rFont val="Calibri"/>
        <family val="2"/>
        <scheme val="minor"/>
      </rPr>
      <t>)</t>
    </r>
  </si>
  <si>
    <t>Base Segment A/E</t>
  </si>
  <si>
    <t>Relativity to Base after Normalization</t>
  </si>
  <si>
    <t>Chosen Base Segment</t>
  </si>
  <si>
    <r>
      <t>A</t>
    </r>
    <r>
      <rPr>
        <b/>
        <vertAlign val="subscript"/>
        <sz val="11"/>
        <color theme="1"/>
        <rFont val="Calibri"/>
        <family val="2"/>
        <scheme val="minor"/>
      </rPr>
      <t>S</t>
    </r>
    <r>
      <rPr>
        <b/>
        <sz val="11"/>
        <color theme="1"/>
        <rFont val="Calibri"/>
        <family val="2"/>
        <scheme val="minor"/>
      </rPr>
      <t>'
(RB A/E * E</t>
    </r>
    <r>
      <rPr>
        <b/>
        <vertAlign val="subscript"/>
        <sz val="11"/>
        <color theme="1"/>
        <rFont val="Calibri"/>
        <family val="2"/>
        <scheme val="minor"/>
      </rPr>
      <t>S</t>
    </r>
    <r>
      <rPr>
        <b/>
        <vertAlign val="superscript"/>
        <sz val="11"/>
        <color theme="1"/>
        <rFont val="Calibri"/>
        <family val="2"/>
        <scheme val="minor"/>
      </rPr>
      <t>Scaled</t>
    </r>
    <r>
      <rPr>
        <b/>
        <sz val="11"/>
        <color theme="1"/>
        <rFont val="Calibri"/>
        <family val="2"/>
        <scheme val="minor"/>
      </rPr>
      <t>)</t>
    </r>
  </si>
  <si>
    <r>
      <t>Col (11) * 
{Col (4) * 
[RR</t>
    </r>
    <r>
      <rPr>
        <b/>
        <vertAlign val="subscript"/>
        <sz val="11"/>
        <color theme="1"/>
        <rFont val="Calibri"/>
        <family val="2"/>
        <scheme val="minor"/>
      </rPr>
      <t>B</t>
    </r>
    <r>
      <rPr>
        <sz val="11"/>
        <color theme="1"/>
        <rFont val="Calibri"/>
        <family val="2"/>
        <scheme val="minor"/>
      </rPr>
      <t xml:space="preserve"> in Col (3)
/ RR</t>
    </r>
    <r>
      <rPr>
        <vertAlign val="subscript"/>
        <sz val="11"/>
        <color theme="1"/>
        <rFont val="Calibri"/>
        <family val="2"/>
        <scheme val="minor"/>
      </rPr>
      <t>S</t>
    </r>
    <r>
      <rPr>
        <sz val="11"/>
        <color theme="1"/>
        <rFont val="Calibri"/>
        <family val="2"/>
        <scheme val="minor"/>
      </rPr>
      <t xml:space="preserve"> in Col (3)]}</t>
    </r>
  </si>
  <si>
    <t>Normalized 
RB A/E</t>
  </si>
  <si>
    <t>Normalized Segment RB A/E divided by Normalized Base RB A/E</t>
  </si>
  <si>
    <r>
      <t>{Col (13) *
[RR</t>
    </r>
    <r>
      <rPr>
        <vertAlign val="subscript"/>
        <sz val="11"/>
        <color theme="1"/>
        <rFont val="Calibri"/>
        <family val="2"/>
        <scheme val="minor"/>
      </rPr>
      <t>B</t>
    </r>
    <r>
      <rPr>
        <sz val="11"/>
        <color theme="1"/>
        <rFont val="Calibri"/>
        <family val="2"/>
        <scheme val="minor"/>
      </rPr>
      <t xml:space="preserve"> in Col (3) / RR</t>
    </r>
    <r>
      <rPr>
        <vertAlign val="subscript"/>
        <sz val="11"/>
        <color theme="1"/>
        <rFont val="Calibri"/>
        <family val="2"/>
        <scheme val="minor"/>
      </rPr>
      <t>S</t>
    </r>
    <r>
      <rPr>
        <sz val="11"/>
        <color theme="1"/>
        <rFont val="Calibri"/>
        <family val="2"/>
        <scheme val="minor"/>
      </rPr>
      <t xml:space="preserve"> in Col (3)]}
 * Col (3)</t>
    </r>
  </si>
  <si>
    <r>
      <t>Expected Relativity to Base (R</t>
    </r>
    <r>
      <rPr>
        <b/>
        <vertAlign val="subscript"/>
        <sz val="11"/>
        <color theme="1"/>
        <rFont val="Calibri"/>
        <family val="2"/>
        <scheme val="minor"/>
      </rPr>
      <t>S</t>
    </r>
    <r>
      <rPr>
        <b/>
        <sz val="11"/>
        <color theme="1"/>
        <rFont val="Calibri"/>
        <family val="2"/>
        <scheme val="minor"/>
      </rPr>
      <t>)</t>
    </r>
  </si>
  <si>
    <t>Expected Claim Amounts Using (3)</t>
  </si>
  <si>
    <r>
      <t>Expected Claim Amounts Using (3)
(E</t>
    </r>
    <r>
      <rPr>
        <b/>
        <vertAlign val="subscript"/>
        <sz val="11"/>
        <color theme="1"/>
        <rFont val="Calibri"/>
        <family val="2"/>
        <scheme val="minor"/>
      </rPr>
      <t>S</t>
    </r>
    <r>
      <rPr>
        <b/>
        <sz val="11"/>
        <color theme="1"/>
        <rFont val="Calibri"/>
        <family val="2"/>
        <scheme val="minor"/>
      </rPr>
      <t>)</t>
    </r>
  </si>
  <si>
    <t>Alternative Example 3 using Relativistic Method Aggregation (VM-20 Section 9.C.2.d.vi.a):</t>
  </si>
  <si>
    <t>The aggregate class A/E ratio(s) and aggregate credibility must be updated based on each new company experience study.  The relativities would not change unless the external source (e.g. RR Tool, reinsurer) indicates that relationships between segments have changed or the external source data is no longer representative of the company experience.</t>
  </si>
  <si>
    <t>Subgroup</t>
  </si>
  <si>
    <t>Subgroup 1</t>
  </si>
  <si>
    <t>Subgroup 2</t>
  </si>
  <si>
    <t>Subgroup 3</t>
  </si>
  <si>
    <t>Subgroup 4</t>
  </si>
  <si>
    <t>Subgroup 5</t>
  </si>
  <si>
    <t>Subgroup 6</t>
  </si>
  <si>
    <t>Subgroup 7</t>
  </si>
  <si>
    <t>Subgroup 8</t>
  </si>
  <si>
    <t>Subgroup 9</t>
  </si>
  <si>
    <t>Subgroup 10</t>
  </si>
  <si>
    <t>Subgroup 11</t>
  </si>
  <si>
    <t>Subgroup 12</t>
  </si>
  <si>
    <t>Segment 15</t>
  </si>
  <si>
    <t>Segment 16</t>
  </si>
  <si>
    <t>Segment 17</t>
  </si>
  <si>
    <t>Segment 18</t>
  </si>
  <si>
    <t>Segment 19</t>
  </si>
  <si>
    <t>Segment 20</t>
  </si>
  <si>
    <t>Segment 21</t>
  </si>
  <si>
    <t>Segment 22</t>
  </si>
  <si>
    <t>Segment 23</t>
  </si>
  <si>
    <t>Segment 24</t>
  </si>
  <si>
    <t>Step 1: Apply credibility techinques to subgroups formed by aggregating face bands for each sex and risk class combination</t>
  </si>
  <si>
    <t>MNS UP</t>
  </si>
  <si>
    <t>MNS SP</t>
  </si>
  <si>
    <t>MNS P</t>
  </si>
  <si>
    <t>MNS S</t>
  </si>
  <si>
    <t>MSM P</t>
  </si>
  <si>
    <t>MSM S</t>
  </si>
  <si>
    <t>FNS UP</t>
  </si>
  <si>
    <t>FNS SP</t>
  </si>
  <si>
    <t>FNS P</t>
  </si>
  <si>
    <t>FNS S</t>
  </si>
  <si>
    <t>FSM P</t>
  </si>
  <si>
    <t>FSM S</t>
  </si>
  <si>
    <t>Sex &amp; Risk Class</t>
  </si>
  <si>
    <t>Face Band</t>
  </si>
  <si>
    <t>100-250</t>
  </si>
  <si>
    <t>250+</t>
  </si>
  <si>
    <t>(16)</t>
  </si>
  <si>
    <t>(17)</t>
  </si>
  <si>
    <t>(18)</t>
  </si>
  <si>
    <t>Sum(Exposure * Face Amount * qx * face band factor) based on select and ultimate table for all policies</t>
  </si>
  <si>
    <t>Step 0: Identify Segment, Basis for E, Calculate and sum each segment's seriatim As and Es , Calculate A/E</t>
  </si>
  <si>
    <t>All Subgroups Combined</t>
  </si>
  <si>
    <t>Col (11) 
* Col (13)</t>
  </si>
  <si>
    <t>Normalization Ratio</t>
  </si>
  <si>
    <t>Normalized CW A/E</t>
  </si>
  <si>
    <t>From Step 1</t>
  </si>
  <si>
    <t>Check for sham aggregation for top level step:</t>
  </si>
  <si>
    <t>relativity before replacing CW with 100%</t>
  </si>
  <si>
    <t>Sham?</t>
  </si>
  <si>
    <t>Scaled Ed</t>
  </si>
  <si>
    <t>Normalized A/E</t>
  </si>
  <si>
    <t>From Step 1 Col (13)</t>
  </si>
  <si>
    <t>From Step 1 Col (14)</t>
  </si>
  <si>
    <t>Normalized CW E</t>
  </si>
  <si>
    <t>Col (11) * Col (4)</t>
  </si>
  <si>
    <t>1 - Col (7)</t>
  </si>
  <si>
    <t>Col (6)</t>
  </si>
  <si>
    <t>Col (6) Aggregate</t>
  </si>
  <si>
    <t>Normalized CW A</t>
  </si>
  <si>
    <t>Step 2</t>
  </si>
  <si>
    <t>Subgroup CW A/E</t>
  </si>
  <si>
    <t>(19)</t>
  </si>
  <si>
    <t>Chosen Level of Subgroup</t>
  </si>
  <si>
    <t>Subgroup:</t>
  </si>
  <si>
    <t xml:space="preserve">Step 0: Identify Segment, Basis for E, Calculate and sum each segment's seriatim As and Es </t>
  </si>
  <si>
    <t>Z</t>
  </si>
  <si>
    <t>Col (12) * Col (4)'s Agg / Col (12)'s Agg</t>
  </si>
  <si>
    <t>Col (5) / Col (13)</t>
  </si>
  <si>
    <t>Col (13) * Col (14)</t>
  </si>
  <si>
    <t>Set Anticipated Experience Assumption</t>
  </si>
  <si>
    <t>Subgroup  CW E</t>
  </si>
  <si>
    <t>MNS Standard</t>
  </si>
  <si>
    <t>Col (17) * Col (3)</t>
  </si>
  <si>
    <t>Col (16) / Col (10)</t>
  </si>
  <si>
    <t>Col (14) * Col (15)</t>
  </si>
  <si>
    <t>Col (11) * Col (13)</t>
  </si>
  <si>
    <t>Col (8) * Col (10)</t>
  </si>
  <si>
    <t>Col (4) subgroup total scaled to Col (9)</t>
  </si>
  <si>
    <t>Reframe Segment E and A To Reflect Step 1 Subgroups'</t>
  </si>
  <si>
    <t>CW Adjusted Experience</t>
  </si>
  <si>
    <t>Relativity Based A'</t>
  </si>
  <si>
    <t>Segment  CW E</t>
  </si>
  <si>
    <t>Segment  CW A</t>
  </si>
  <si>
    <t>CW Expected and Actual Claim Amounts to</t>
  </si>
  <si>
    <t>Expected Relativity to Base</t>
  </si>
  <si>
    <t>Normalized A'</t>
  </si>
  <si>
    <t>Normalized 
A/E</t>
  </si>
  <si>
    <t>Relativity Based A/E</t>
  </si>
  <si>
    <t>Calculate Relativity-Based A' and normalize</t>
  </si>
  <si>
    <t>Col (8) 
* Col (10)</t>
  </si>
  <si>
    <t>Col (12) 
* Col (13)</t>
  </si>
  <si>
    <r>
      <rPr>
        <b/>
        <sz val="11"/>
        <color rgb="FFFF0000"/>
        <rFont val="Calibri"/>
        <family val="2"/>
        <scheme val="minor"/>
      </rPr>
      <t>Col (4)</t>
    </r>
    <r>
      <rPr>
        <b/>
        <sz val="11"/>
        <color theme="1"/>
        <rFont val="Calibri"/>
        <family val="2"/>
        <scheme val="minor"/>
      </rPr>
      <t xml:space="preserve"> </t>
    </r>
    <r>
      <rPr>
        <sz val="11"/>
        <color theme="1"/>
        <rFont val="Calibri"/>
        <family val="2"/>
        <scheme val="minor"/>
      </rPr>
      <t xml:space="preserve">
* Col (11)</t>
    </r>
  </si>
  <si>
    <t>Normalized E'</t>
  </si>
  <si>
    <t>Ratio of subgroup's Col (11) to subgroup' Col (14)</t>
  </si>
  <si>
    <r>
      <t xml:space="preserve">Ratio of subgroup's </t>
    </r>
    <r>
      <rPr>
        <b/>
        <sz val="11"/>
        <color rgb="FFFF0000"/>
        <rFont val="Calibri"/>
        <family val="2"/>
        <scheme val="minor"/>
      </rPr>
      <t>Col (5)</t>
    </r>
    <r>
      <rPr>
        <b/>
        <sz val="11"/>
        <color theme="1"/>
        <rFont val="Calibri"/>
        <family val="2"/>
        <scheme val="minor"/>
      </rPr>
      <t xml:space="preserve"> </t>
    </r>
    <r>
      <rPr>
        <sz val="11"/>
        <color theme="1"/>
        <rFont val="Calibri"/>
        <family val="2"/>
        <scheme val="minor"/>
      </rPr>
      <t>to subgroup's Col (12)</t>
    </r>
  </si>
  <si>
    <r>
      <t>Example 8 using Two-Step Sequential Method: Weighting Method followed by Relativistic Method  (</t>
    </r>
    <r>
      <rPr>
        <b/>
        <sz val="14"/>
        <color rgb="FFFF0000"/>
        <rFont val="Calibri"/>
        <family val="2"/>
        <scheme val="minor"/>
      </rPr>
      <t>VM-20 Section 9.C.2.d.vi.c added by the proposed APF</t>
    </r>
    <r>
      <rPr>
        <b/>
        <sz val="14"/>
        <color theme="1"/>
        <rFont val="Calibri"/>
        <family val="2"/>
        <scheme val="minor"/>
      </rPr>
      <t>):</t>
    </r>
  </si>
  <si>
    <r>
      <t xml:space="preserve">Example 9 of what </t>
    </r>
    <r>
      <rPr>
        <b/>
        <sz val="14"/>
        <color rgb="FFFF0000"/>
        <rFont val="Calibri"/>
        <family val="2"/>
        <scheme val="minor"/>
      </rPr>
      <t xml:space="preserve">Would not Comply with the Valuation Manual </t>
    </r>
    <r>
      <rPr>
        <b/>
        <sz val="14"/>
        <color theme="1"/>
        <rFont val="Calibri"/>
        <family val="2"/>
        <scheme val="minor"/>
      </rPr>
      <t>for using Two-Step Sequential Method (</t>
    </r>
    <r>
      <rPr>
        <b/>
        <sz val="14"/>
        <color rgb="FFFF0000"/>
        <rFont val="Calibri"/>
        <family val="2"/>
        <scheme val="minor"/>
      </rPr>
      <t>VM-20 Section 9.C.2.d.vi.c added by the proposed APF</t>
    </r>
    <r>
      <rPr>
        <b/>
        <sz val="14"/>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</si>
</sst>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_(* #,##0.0_);_(* \(#,##0.0\);_(* &quot;-&quot;??_);_(@_)"/>
    <numFmt numFmtId="166" formatCode="_(* #,##0_);_(* \(#,##0\);_(* &quot;-&quot;??_);_(@_)"/>
    <numFmt numFmtId="167"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color theme="1"/>
      <name val="Calibri"/>
      <family val="2"/>
      <scheme val="minor"/>
    </font>
    <font>
      <sz val="12"/>
      <color theme="1"/>
      <name val="Calibri"/>
      <family val="2"/>
      <scheme val="minor"/>
    </font>
    <font>
      <b/>
      <u/>
      <sz val="12"/>
      <color theme="1"/>
      <name val="Calibri"/>
      <family val="2"/>
      <scheme val="minor"/>
    </font>
    <font>
      <vertAlign val="subscript"/>
      <sz val="11"/>
      <color theme="1"/>
      <name val="Calibri"/>
      <family val="2"/>
      <scheme val="minor"/>
    </font>
    <font>
      <b/>
      <sz val="14"/>
      <color theme="1"/>
      <name val="Calibri"/>
      <family val="2"/>
      <scheme val="minor"/>
    </font>
    <font>
      <sz val="11"/>
      <color theme="1" tint="0.34998626667073579"/>
      <name val="Calibri"/>
      <family val="2"/>
      <scheme val="minor"/>
    </font>
    <font>
      <b/>
      <sz val="12"/>
      <name val="Calibri"/>
      <family val="2"/>
      <scheme val="minor"/>
    </font>
    <font>
      <sz val="11"/>
      <color theme="2" tint="-0.499984740745262"/>
      <name val="Calibri"/>
      <family val="2"/>
      <scheme val="minor"/>
    </font>
    <font>
      <sz val="11"/>
      <color rgb="FFFF0000"/>
      <name val="Calibri"/>
      <family val="2"/>
      <scheme val="minor"/>
    </font>
    <font>
      <b/>
      <sz val="14"/>
      <color rgb="FFFF0000"/>
      <name val="Calibri"/>
      <family val="2"/>
      <scheme val="minor"/>
    </font>
    <font>
      <b/>
      <sz val="14"/>
      <name val="Calibri"/>
      <family val="2"/>
      <scheme val="minor"/>
    </font>
    <font>
      <b/>
      <sz val="11"/>
      <color rgb="FFFF0000"/>
      <name val="Calibri"/>
      <family val="2"/>
      <scheme val="minor"/>
    </font>
    <font>
      <b/>
      <vertAlign val="subscript"/>
      <sz val="11"/>
      <color theme="1"/>
      <name val="Calibri"/>
      <family val="2"/>
      <scheme val="minor"/>
    </font>
    <font>
      <b/>
      <vertAlign val="superscript"/>
      <sz val="11"/>
      <color theme="1"/>
      <name val="Calibri"/>
      <family val="2"/>
      <scheme val="minor"/>
    </font>
    <font>
      <sz val="10"/>
      <color theme="1"/>
      <name val="Arial"/>
      <family val="2"/>
    </font>
    <font>
      <b/>
      <sz val="11"/>
      <color rgb="FF0000FF"/>
      <name val="Calibri"/>
      <family val="2"/>
      <scheme val="minor"/>
    </font>
    <font>
      <sz val="13"/>
      <color rgb="FF000000"/>
      <name val="Calibri"/>
      <family val="2"/>
      <scheme val="minor"/>
    </font>
    <font>
      <b/>
      <sz val="1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4" tint="0.79998168889431442"/>
        <bgColor indexed="64"/>
      </patternFill>
    </fill>
  </fills>
  <borders count="66">
    <border>
      <left/>
      <right/>
      <top/>
      <bottom/>
      <diagonal/>
    </border>
    <border>
      <left/>
      <right/>
      <top/>
      <bottom style="thin">
        <color indexed="64"/>
      </bottom>
      <diagonal/>
    </border>
    <border>
      <left/>
      <right style="thin">
        <color indexed="64"/>
      </right>
      <top/>
      <bottom/>
      <diagonal/>
    </border>
    <border>
      <left/>
      <right style="medium">
        <color indexed="64"/>
      </right>
      <top/>
      <bottom/>
      <diagonal/>
    </border>
    <border>
      <left style="medium">
        <color indexed="64"/>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auto="1"/>
      </right>
      <top style="thin">
        <color theme="0" tint="-0.24994659260841701"/>
      </top>
      <bottom style="thin">
        <color theme="0" tint="-0.24994659260841701"/>
      </bottom>
      <diagonal/>
    </border>
    <border>
      <left style="thin">
        <color theme="0" tint="-0.24994659260841701"/>
      </left>
      <right style="medium">
        <color auto="1"/>
      </right>
      <top style="thin">
        <color theme="0" tint="-0.24994659260841701"/>
      </top>
      <bottom/>
      <diagonal/>
    </border>
    <border>
      <left style="thin">
        <color theme="0" tint="-0.24994659260841701"/>
      </left>
      <right style="medium">
        <color auto="1"/>
      </right>
      <top/>
      <bottom style="thin">
        <color theme="0" tint="-0.24994659260841701"/>
      </bottom>
      <diagonal/>
    </border>
    <border>
      <left/>
      <right style="medium">
        <color auto="1"/>
      </right>
      <top style="thin">
        <color theme="0" tint="-0.24994659260841701"/>
      </top>
      <bottom style="thin">
        <color theme="0" tint="-0.24994659260841701"/>
      </bottom>
      <diagonal/>
    </border>
    <border>
      <left/>
      <right style="medium">
        <color auto="1"/>
      </right>
      <top style="thin">
        <color theme="0" tint="-0.24994659260841701"/>
      </top>
      <bottom/>
      <diagonal/>
    </border>
    <border>
      <left/>
      <right style="medium">
        <color auto="1"/>
      </right>
      <top/>
      <bottom style="thin">
        <color theme="0" tint="-0.24994659260841701"/>
      </bottom>
      <diagonal/>
    </border>
    <border>
      <left style="medium">
        <color indexed="64"/>
      </left>
      <right/>
      <top style="thin">
        <color theme="0" tint="-0.24994659260841701"/>
      </top>
      <bottom/>
      <diagonal/>
    </border>
    <border>
      <left style="thin">
        <color theme="0" tint="-0.24994659260841701"/>
      </left>
      <right style="medium">
        <color auto="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style="thin">
        <color indexed="64"/>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diagonal/>
    </border>
    <border>
      <left style="medium">
        <color indexed="64"/>
      </left>
      <right style="medium">
        <color indexed="64"/>
      </right>
      <top/>
      <bottom/>
      <diagonal/>
    </border>
    <border>
      <left style="medium">
        <color indexed="64"/>
      </left>
      <right style="medium">
        <color indexed="64"/>
      </right>
      <top/>
      <bottom style="thin">
        <color theme="0" tint="-0.24994659260841701"/>
      </bottom>
      <diagonal/>
    </border>
    <border>
      <left style="medium">
        <color indexed="64"/>
      </left>
      <right style="medium">
        <color indexed="64"/>
      </right>
      <top style="thin">
        <color theme="0" tint="-0.24994659260841701"/>
      </top>
      <bottom style="thin">
        <color indexed="64"/>
      </bottom>
      <diagonal/>
    </border>
    <border>
      <left style="medium">
        <color auto="1"/>
      </left>
      <right/>
      <top style="thin">
        <color theme="0" tint="-0.24994659260841701"/>
      </top>
      <bottom style="thin">
        <color theme="0" tint="-0.24994659260841701"/>
      </bottom>
      <diagonal/>
    </border>
    <border>
      <left style="thin">
        <color theme="0" tint="-0.24994659260841701"/>
      </left>
      <right/>
      <top/>
      <bottom/>
      <diagonal/>
    </border>
    <border>
      <left/>
      <right/>
      <top style="thin">
        <color theme="0" tint="-0.24994659260841701"/>
      </top>
      <bottom style="thin">
        <color indexed="64"/>
      </bottom>
      <diagonal/>
    </border>
    <border>
      <left/>
      <right style="medium">
        <color auto="1"/>
      </right>
      <top style="thin">
        <color theme="0" tint="-0.24994659260841701"/>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theme="0" tint="-0.34998626667073579"/>
      </right>
      <top style="thin">
        <color indexed="64"/>
      </top>
      <bottom/>
      <diagonal/>
    </border>
    <border>
      <left style="thin">
        <color indexed="64"/>
      </left>
      <right style="thin">
        <color theme="0" tint="-0.34998626667073579"/>
      </right>
      <top/>
      <bottom/>
      <diagonal/>
    </border>
    <border>
      <left style="thin">
        <color indexed="64"/>
      </left>
      <right style="thin">
        <color theme="0" tint="-0.34998626667073579"/>
      </right>
      <top/>
      <bottom style="thin">
        <color indexed="64"/>
      </bottom>
      <diagonal/>
    </border>
    <border>
      <left style="thin">
        <color theme="0" tint="-0.24994659260841701"/>
      </left>
      <right/>
      <top style="thin">
        <color indexed="64"/>
      </top>
      <bottom/>
      <diagonal/>
    </border>
    <border>
      <left style="thin">
        <color theme="0" tint="-0.24994659260841701"/>
      </left>
      <right/>
      <top/>
      <bottom style="thin">
        <color indexed="64"/>
      </bottom>
      <diagonal/>
    </border>
    <border>
      <left/>
      <right style="thin">
        <color theme="0" tint="-0.24994659260841701"/>
      </right>
      <top/>
      <bottom/>
      <diagonal/>
    </border>
    <border>
      <left style="medium">
        <color indexed="64"/>
      </left>
      <right/>
      <top/>
      <bottom style="thin">
        <color theme="0" tint="-0.24994659260841701"/>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style="thin">
        <color theme="0" tint="-0.24994659260841701"/>
      </left>
      <right style="thin">
        <color theme="0" tint="-0.249977111117893"/>
      </right>
      <top style="thin">
        <color theme="0" tint="-0.24994659260841701"/>
      </top>
      <bottom/>
      <diagonal/>
    </border>
    <border>
      <left style="thin">
        <color theme="0" tint="-0.24994659260841701"/>
      </left>
      <right style="thin">
        <color theme="0" tint="-0.249977111117893"/>
      </right>
      <top/>
      <bottom style="thin">
        <color theme="0" tint="-0.24994659260841701"/>
      </bottom>
      <diagonal/>
    </border>
    <border>
      <left style="thin">
        <color theme="0" tint="-0.24994659260841701"/>
      </left>
      <right style="thin">
        <color theme="0" tint="-0.249977111117893"/>
      </right>
      <top style="thin">
        <color theme="0" tint="-0.24994659260841701"/>
      </top>
      <bottom style="thin">
        <color indexed="64"/>
      </bottom>
      <diagonal/>
    </border>
    <border>
      <left/>
      <right style="thin">
        <color theme="0" tint="-0.249977111117893"/>
      </right>
      <top style="thin">
        <color theme="0" tint="-0.24994659260841701"/>
      </top>
      <bottom style="thin">
        <color theme="0" tint="-0.24994659260841701"/>
      </bottom>
      <diagonal/>
    </border>
    <border>
      <left/>
      <right style="thin">
        <color theme="0" tint="-0.249977111117893"/>
      </right>
      <top style="thin">
        <color theme="0" tint="-0.24994659260841701"/>
      </top>
      <bottom/>
      <diagonal/>
    </border>
    <border>
      <left/>
      <right style="thin">
        <color theme="0" tint="-0.249977111117893"/>
      </right>
      <top/>
      <bottom style="thin">
        <color theme="0" tint="-0.24994659260841701"/>
      </bottom>
      <diagonal/>
    </border>
    <border>
      <left/>
      <right style="thin">
        <color theme="0" tint="-0.249977111117893"/>
      </right>
      <top style="thin">
        <color theme="0" tint="-0.24994659260841701"/>
      </top>
      <bottom style="thin">
        <color indexed="64"/>
      </bottom>
      <diagonal/>
    </border>
    <border>
      <left style="medium">
        <color indexed="64"/>
      </left>
      <right style="thin">
        <color theme="0" tint="-0.249977111117893"/>
      </right>
      <top style="thin">
        <color theme="0" tint="-0.24994659260841701"/>
      </top>
      <bottom style="thin">
        <color indexed="64"/>
      </bottom>
      <diagonal/>
    </border>
    <border>
      <left style="medium">
        <color indexed="64"/>
      </left>
      <right style="thin">
        <color theme="0" tint="-0.249977111117893"/>
      </right>
      <top style="thin">
        <color theme="0" tint="-0.24994659260841701"/>
      </top>
      <bottom/>
      <diagonal/>
    </border>
    <border>
      <left style="medium">
        <color indexed="64"/>
      </left>
      <right style="thin">
        <color theme="0" tint="-0.249977111117893"/>
      </right>
      <top/>
      <bottom style="thin">
        <color theme="0" tint="-0.24994659260841701"/>
      </bottom>
      <diagonal/>
    </border>
    <border>
      <left style="medium">
        <color indexed="64"/>
      </left>
      <right style="thin">
        <color theme="0" tint="-0.249977111117893"/>
      </right>
      <top style="thin">
        <color theme="0" tint="-0.24994659260841701"/>
      </top>
      <bottom style="thin">
        <color theme="0" tint="-0.24994659260841701"/>
      </bottom>
      <diagonal/>
    </border>
    <border>
      <left style="medium">
        <color auto="1"/>
      </left>
      <right style="thin">
        <color theme="0" tint="-0.24994659260841701"/>
      </right>
      <top style="thin">
        <color theme="0" tint="-0.24994659260841701"/>
      </top>
      <bottom style="thin">
        <color indexed="64"/>
      </bottom>
      <diagonal/>
    </border>
    <border>
      <left style="thin">
        <color theme="0" tint="-0.249977111117893"/>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right style="thick">
        <color indexed="64"/>
      </right>
      <top/>
      <bottom/>
      <diagonal/>
    </border>
    <border>
      <left style="thick">
        <color indexed="64"/>
      </left>
      <right/>
      <top/>
      <bottom/>
      <diagonal/>
    </border>
    <border>
      <left style="thin">
        <color theme="0" tint="-0.24994659260841701"/>
      </left>
      <right style="thick">
        <color indexed="64"/>
      </right>
      <top style="thin">
        <color theme="0" tint="-0.24994659260841701"/>
      </top>
      <bottom style="thin">
        <color theme="0" tint="-0.24994659260841701"/>
      </bottom>
      <diagonal/>
    </border>
    <border>
      <left style="thick">
        <color indexed="64"/>
      </left>
      <right style="thick">
        <color indexed="64"/>
      </right>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9" fontId="18" fillId="0" borderId="0" applyFont="0" applyFill="0" applyBorder="0" applyAlignment="0" applyProtection="0"/>
  </cellStyleXfs>
  <cellXfs count="409">
    <xf numFmtId="0" fontId="0" fillId="0" borderId="0" xfId="0"/>
    <xf numFmtId="0" fontId="0" fillId="0" borderId="0" xfId="0" applyAlignment="1">
      <alignment horizontal="right"/>
    </xf>
    <xf numFmtId="0" fontId="0" fillId="0" borderId="0" xfId="0" applyAlignment="1">
      <alignment horizontal="left"/>
    </xf>
    <xf numFmtId="0" fontId="2" fillId="0" borderId="0" xfId="0" applyFont="1"/>
    <xf numFmtId="0" fontId="0" fillId="0" borderId="0" xfId="0" applyAlignment="1">
      <alignment horizontal="center"/>
    </xf>
    <xf numFmtId="0" fontId="2" fillId="0" borderId="0" xfId="0" applyFont="1" applyAlignment="1">
      <alignment horizontal="left"/>
    </xf>
    <xf numFmtId="2" fontId="0" fillId="0" borderId="0" xfId="0" applyNumberFormat="1" applyAlignment="1">
      <alignment horizontal="center"/>
    </xf>
    <xf numFmtId="0" fontId="0" fillId="0" borderId="0" xfId="0" applyAlignment="1">
      <alignment wrapText="1"/>
    </xf>
    <xf numFmtId="0" fontId="0" fillId="0" borderId="3" xfId="0" applyBorder="1" applyAlignment="1">
      <alignment horizontal="right"/>
    </xf>
    <xf numFmtId="0" fontId="0" fillId="0" borderId="3" xfId="0" applyBorder="1" applyAlignment="1">
      <alignment horizontal="center"/>
    </xf>
    <xf numFmtId="0" fontId="0" fillId="0" borderId="3" xfId="0" applyBorder="1"/>
    <xf numFmtId="0" fontId="0" fillId="0" borderId="0" xfId="0" applyAlignment="1">
      <alignment vertical="center"/>
    </xf>
    <xf numFmtId="0" fontId="0" fillId="0" borderId="4" xfId="0" applyBorder="1" applyAlignment="1">
      <alignment horizontal="center"/>
    </xf>
    <xf numFmtId="0" fontId="5" fillId="0" borderId="0" xfId="0" applyFont="1"/>
    <xf numFmtId="0" fontId="0" fillId="0" borderId="5" xfId="0" applyBorder="1" applyAlignment="1">
      <alignment horizontal="center" wrapText="1"/>
    </xf>
    <xf numFmtId="0" fontId="2" fillId="2" borderId="5" xfId="0" applyFont="1" applyFill="1" applyBorder="1" applyAlignment="1">
      <alignment wrapText="1"/>
    </xf>
    <xf numFmtId="0" fontId="2" fillId="2" borderId="5" xfId="0" applyFont="1" applyFill="1" applyBorder="1" applyAlignment="1">
      <alignment horizontal="center" wrapText="1"/>
    </xf>
    <xf numFmtId="0" fontId="0" fillId="0" borderId="5" xfId="0" applyBorder="1"/>
    <xf numFmtId="164" fontId="3" fillId="0" borderId="5" xfId="1" applyNumberFormat="1" applyFont="1" applyBorder="1" applyAlignment="1">
      <alignment horizontal="right"/>
    </xf>
    <xf numFmtId="0" fontId="0" fillId="0" borderId="5" xfId="0" applyBorder="1" applyAlignment="1">
      <alignment vertical="center"/>
    </xf>
    <xf numFmtId="0" fontId="0" fillId="0" borderId="5" xfId="0" applyBorder="1" applyAlignment="1">
      <alignment horizontal="right" vertical="center"/>
    </xf>
    <xf numFmtId="0" fontId="0" fillId="0" borderId="5" xfId="0" applyBorder="1" applyAlignment="1">
      <alignment horizontal="center" vertical="center"/>
    </xf>
    <xf numFmtId="0" fontId="0" fillId="0" borderId="6" xfId="0" applyBorder="1"/>
    <xf numFmtId="0" fontId="0" fillId="0" borderId="7" xfId="0" applyBorder="1" applyAlignment="1">
      <alignment horizontal="right"/>
    </xf>
    <xf numFmtId="0" fontId="0" fillId="0" borderId="7" xfId="0" applyBorder="1"/>
    <xf numFmtId="0" fontId="0" fillId="0" borderId="7" xfId="0" applyBorder="1" applyAlignment="1">
      <alignment horizontal="center"/>
    </xf>
    <xf numFmtId="0" fontId="0" fillId="0" borderId="8" xfId="0" applyBorder="1"/>
    <xf numFmtId="0" fontId="0" fillId="0" borderId="9" xfId="0" applyBorder="1"/>
    <xf numFmtId="0" fontId="0" fillId="0" borderId="10" xfId="0" applyBorder="1" applyAlignment="1">
      <alignment horizontal="right"/>
    </xf>
    <xf numFmtId="0" fontId="2" fillId="0" borderId="10" xfId="0" applyFont="1" applyBorder="1" applyAlignment="1">
      <alignment horizontal="right"/>
    </xf>
    <xf numFmtId="0" fontId="0" fillId="0" borderId="10" xfId="0" applyBorder="1"/>
    <xf numFmtId="0" fontId="0" fillId="0" borderId="10" xfId="0" applyBorder="1" applyAlignment="1">
      <alignment horizontal="center"/>
    </xf>
    <xf numFmtId="0" fontId="2" fillId="0" borderId="10" xfId="0" applyFont="1" applyBorder="1"/>
    <xf numFmtId="164" fontId="0" fillId="0" borderId="10" xfId="0" applyNumberFormat="1" applyBorder="1" applyAlignment="1">
      <alignment horizontal="center"/>
    </xf>
    <xf numFmtId="0" fontId="0" fillId="0" borderId="11" xfId="0" applyBorder="1"/>
    <xf numFmtId="0" fontId="2" fillId="0" borderId="13" xfId="0" quotePrefix="1" applyFont="1" applyBorder="1" applyAlignment="1">
      <alignment horizontal="center"/>
    </xf>
    <xf numFmtId="0" fontId="0" fillId="0" borderId="13" xfId="0" applyBorder="1" applyAlignment="1">
      <alignment horizontal="center" wrapText="1"/>
    </xf>
    <xf numFmtId="0" fontId="2" fillId="0" borderId="12" xfId="0" quotePrefix="1" applyFont="1" applyBorder="1" applyAlignment="1">
      <alignment horizontal="center"/>
    </xf>
    <xf numFmtId="9" fontId="0" fillId="0" borderId="14" xfId="0" applyNumberFormat="1" applyBorder="1" applyAlignment="1">
      <alignment horizontal="center" vertical="center"/>
    </xf>
    <xf numFmtId="9" fontId="0" fillId="0" borderId="15" xfId="0" applyNumberFormat="1" applyBorder="1" applyAlignment="1">
      <alignment horizontal="center" vertical="center"/>
    </xf>
    <xf numFmtId="1" fontId="0" fillId="0" borderId="15" xfId="0" applyNumberFormat="1" applyBorder="1" applyAlignment="1">
      <alignment horizontal="center" vertical="center"/>
    </xf>
    <xf numFmtId="0" fontId="2" fillId="0" borderId="6" xfId="0" quotePrefix="1" applyFont="1" applyBorder="1" applyAlignment="1">
      <alignment horizontal="center"/>
    </xf>
    <xf numFmtId="0" fontId="2" fillId="0" borderId="8" xfId="0" quotePrefix="1" applyFont="1" applyBorder="1" applyAlignment="1">
      <alignment horizontal="center"/>
    </xf>
    <xf numFmtId="0" fontId="2" fillId="0" borderId="9" xfId="0" quotePrefix="1" applyFont="1" applyBorder="1" applyAlignment="1">
      <alignment horizontal="center"/>
    </xf>
    <xf numFmtId="0" fontId="2" fillId="0" borderId="11" xfId="0" quotePrefix="1" applyFont="1" applyBorder="1" applyAlignment="1">
      <alignment horizontal="center"/>
    </xf>
    <xf numFmtId="0" fontId="2" fillId="2" borderId="16" xfId="0" applyFont="1" applyFill="1" applyBorder="1" applyAlignment="1">
      <alignment horizontal="center" wrapText="1"/>
    </xf>
    <xf numFmtId="9" fontId="0" fillId="0" borderId="16" xfId="0" applyNumberFormat="1" applyBorder="1" applyAlignment="1">
      <alignment horizontal="center"/>
    </xf>
    <xf numFmtId="9" fontId="0" fillId="0" borderId="16" xfId="1" applyFont="1" applyBorder="1" applyAlignment="1">
      <alignment horizontal="center"/>
    </xf>
    <xf numFmtId="0" fontId="2" fillId="2" borderId="16" xfId="0" applyFont="1" applyFill="1" applyBorder="1" applyAlignment="1">
      <alignment horizontal="left" wrapText="1"/>
    </xf>
    <xf numFmtId="0" fontId="0" fillId="0" borderId="16" xfId="0" applyBorder="1" applyAlignment="1">
      <alignment horizontal="left"/>
    </xf>
    <xf numFmtId="0" fontId="0" fillId="0" borderId="16" xfId="0" applyBorder="1" applyAlignment="1">
      <alignment horizontal="left" vertical="center" wrapText="1"/>
    </xf>
    <xf numFmtId="0" fontId="2" fillId="0" borderId="18" xfId="0" quotePrefix="1" applyFont="1" applyBorder="1" applyAlignment="1">
      <alignment horizontal="center"/>
    </xf>
    <xf numFmtId="0" fontId="2" fillId="0" borderId="19" xfId="0" quotePrefix="1" applyFont="1" applyBorder="1" applyAlignment="1">
      <alignment horizontal="center"/>
    </xf>
    <xf numFmtId="0" fontId="2" fillId="2" borderId="17" xfId="0" applyFont="1" applyFill="1" applyBorder="1" applyAlignment="1">
      <alignment horizontal="left" wrapText="1"/>
    </xf>
    <xf numFmtId="0" fontId="0" fillId="0" borderId="17" xfId="0" applyBorder="1" applyAlignment="1">
      <alignment horizontal="left"/>
    </xf>
    <xf numFmtId="0" fontId="2" fillId="2" borderId="17" xfId="0" applyFont="1" applyFill="1" applyBorder="1" applyAlignment="1">
      <alignment horizontal="center" wrapText="1"/>
    </xf>
    <xf numFmtId="0" fontId="0" fillId="0" borderId="11" xfId="0" applyBorder="1" applyAlignment="1">
      <alignment horizontal="center" wrapText="1"/>
    </xf>
    <xf numFmtId="1" fontId="0" fillId="0" borderId="16" xfId="0" applyNumberFormat="1" applyBorder="1"/>
    <xf numFmtId="1" fontId="0" fillId="0" borderId="16" xfId="0" applyNumberFormat="1" applyBorder="1" applyAlignment="1">
      <alignment vertical="center"/>
    </xf>
    <xf numFmtId="0" fontId="2" fillId="0" borderId="21" xfId="0" quotePrefix="1" applyFont="1" applyBorder="1" applyAlignment="1">
      <alignment horizontal="center"/>
    </xf>
    <xf numFmtId="0" fontId="2" fillId="0" borderId="22" xfId="0" quotePrefix="1" applyFont="1" applyBorder="1" applyAlignment="1">
      <alignment horizontal="center"/>
    </xf>
    <xf numFmtId="9" fontId="0" fillId="0" borderId="20" xfId="1" applyFont="1" applyBorder="1" applyAlignment="1">
      <alignment horizontal="center" vertical="center"/>
    </xf>
    <xf numFmtId="0" fontId="0" fillId="0" borderId="15" xfId="0" applyBorder="1" applyAlignment="1">
      <alignment vertical="center"/>
    </xf>
    <xf numFmtId="0" fontId="0" fillId="0" borderId="19" xfId="0" applyBorder="1" applyAlignment="1">
      <alignment horizontal="center" wrapText="1"/>
    </xf>
    <xf numFmtId="1" fontId="0" fillId="0" borderId="17" xfId="0" applyNumberFormat="1" applyBorder="1"/>
    <xf numFmtId="0" fontId="0" fillId="0" borderId="20" xfId="0" applyBorder="1" applyAlignment="1">
      <alignment vertical="center"/>
    </xf>
    <xf numFmtId="0" fontId="0" fillId="0" borderId="17" xfId="0" applyBorder="1" applyAlignment="1">
      <alignment horizontal="left" vertical="center" wrapText="1"/>
    </xf>
    <xf numFmtId="0" fontId="2" fillId="0" borderId="7" xfId="0" applyFont="1" applyBorder="1"/>
    <xf numFmtId="0" fontId="0" fillId="0" borderId="21" xfId="0" applyBorder="1" applyAlignment="1">
      <alignment horizontal="right"/>
    </xf>
    <xf numFmtId="0" fontId="2" fillId="0" borderId="7" xfId="0" applyFont="1" applyBorder="1" applyAlignment="1">
      <alignment horizontal="left"/>
    </xf>
    <xf numFmtId="0" fontId="0" fillId="0" borderId="21" xfId="0" applyBorder="1" applyAlignment="1">
      <alignment horizontal="center"/>
    </xf>
    <xf numFmtId="0" fontId="2" fillId="0" borderId="23" xfId="0" applyFont="1" applyBorder="1" applyAlignment="1">
      <alignment horizontal="left"/>
    </xf>
    <xf numFmtId="0" fontId="0" fillId="0" borderId="21" xfId="0" applyBorder="1"/>
    <xf numFmtId="0" fontId="0" fillId="0" borderId="11" xfId="0" quotePrefix="1" applyBorder="1" applyAlignment="1">
      <alignment horizontal="center"/>
    </xf>
    <xf numFmtId="0" fontId="0" fillId="0" borderId="13" xfId="0" applyBorder="1"/>
    <xf numFmtId="0" fontId="0" fillId="0" borderId="19" xfId="0" applyBorder="1" applyAlignment="1">
      <alignment horizontal="left"/>
    </xf>
    <xf numFmtId="0" fontId="0" fillId="0" borderId="11" xfId="0" applyBorder="1" applyAlignment="1">
      <alignment horizontal="left"/>
    </xf>
    <xf numFmtId="164" fontId="3" fillId="0" borderId="13" xfId="1" applyNumberFormat="1" applyFont="1" applyBorder="1" applyAlignment="1">
      <alignment horizontal="right"/>
    </xf>
    <xf numFmtId="0" fontId="0" fillId="0" borderId="25" xfId="0" applyBorder="1"/>
    <xf numFmtId="0" fontId="0" fillId="0" borderId="24" xfId="0" applyBorder="1" applyAlignment="1">
      <alignment horizontal="left"/>
    </xf>
    <xf numFmtId="0" fontId="0" fillId="0" borderId="26" xfId="0" applyBorder="1" applyAlignment="1">
      <alignment horizontal="left"/>
    </xf>
    <xf numFmtId="164" fontId="3" fillId="0" borderId="25" xfId="1" applyNumberFormat="1" applyFont="1" applyBorder="1" applyAlignment="1">
      <alignment horizontal="right"/>
    </xf>
    <xf numFmtId="0" fontId="2" fillId="0" borderId="28" xfId="0" applyFont="1" applyBorder="1" applyAlignment="1">
      <alignment horizontal="left"/>
    </xf>
    <xf numFmtId="0" fontId="0" fillId="0" borderId="29" xfId="0" applyBorder="1" applyAlignment="1">
      <alignment horizontal="center"/>
    </xf>
    <xf numFmtId="0" fontId="2" fillId="0" borderId="28" xfId="0" quotePrefix="1" applyFont="1" applyBorder="1" applyAlignment="1">
      <alignment horizontal="center"/>
    </xf>
    <xf numFmtId="0" fontId="2" fillId="2" borderId="27" xfId="0" applyFont="1" applyFill="1" applyBorder="1" applyAlignment="1">
      <alignment horizontal="center" wrapText="1"/>
    </xf>
    <xf numFmtId="0" fontId="0" fillId="0" borderId="11" xfId="0" quotePrefix="1" applyBorder="1" applyAlignment="1">
      <alignment horizontal="center" wrapText="1"/>
    </xf>
    <xf numFmtId="0" fontId="0" fillId="0" borderId="13" xfId="0" applyBorder="1" applyAlignment="1">
      <alignment vertical="center"/>
    </xf>
    <xf numFmtId="0" fontId="0" fillId="0" borderId="19"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right" vertical="center"/>
    </xf>
    <xf numFmtId="9" fontId="0" fillId="0" borderId="30" xfId="0" applyNumberForma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vertical="center"/>
    </xf>
    <xf numFmtId="0" fontId="0" fillId="0" borderId="22" xfId="0" applyBorder="1" applyAlignment="1">
      <alignment vertical="center"/>
    </xf>
    <xf numFmtId="0" fontId="2" fillId="0" borderId="6" xfId="0" applyFont="1" applyBorder="1"/>
    <xf numFmtId="0" fontId="2" fillId="0" borderId="9" xfId="0" applyFont="1" applyBorder="1"/>
    <xf numFmtId="0" fontId="2" fillId="2" borderId="32" xfId="0" applyFont="1" applyFill="1" applyBorder="1" applyAlignment="1">
      <alignment horizontal="center" wrapText="1"/>
    </xf>
    <xf numFmtId="0" fontId="2" fillId="2" borderId="15" xfId="0" applyFont="1" applyFill="1" applyBorder="1" applyAlignment="1">
      <alignment horizontal="center" wrapText="1"/>
    </xf>
    <xf numFmtId="0" fontId="2" fillId="2" borderId="20" xfId="0" quotePrefix="1" applyFont="1" applyFill="1" applyBorder="1" applyAlignment="1">
      <alignment horizontal="center" wrapText="1"/>
    </xf>
    <xf numFmtId="0" fontId="4" fillId="0" borderId="0" xfId="0" applyFont="1" applyAlignment="1">
      <alignment vertical="top" wrapText="1"/>
    </xf>
    <xf numFmtId="0" fontId="5" fillId="0" borderId="0" xfId="0" applyFont="1" applyAlignment="1">
      <alignment vertical="top" wrapText="1"/>
    </xf>
    <xf numFmtId="164" fontId="0" fillId="0" borderId="17" xfId="1" applyNumberFormat="1" applyFont="1" applyBorder="1" applyAlignment="1">
      <alignment horizontal="center"/>
    </xf>
    <xf numFmtId="0" fontId="2" fillId="0" borderId="7" xfId="0" quotePrefix="1" applyFont="1" applyBorder="1" applyAlignment="1">
      <alignment horizontal="center"/>
    </xf>
    <xf numFmtId="0" fontId="0" fillId="0" borderId="10" xfId="0" applyBorder="1" applyAlignment="1">
      <alignment horizontal="center" wrapText="1"/>
    </xf>
    <xf numFmtId="1" fontId="0" fillId="0" borderId="15" xfId="0" applyNumberFormat="1" applyBorder="1"/>
    <xf numFmtId="1" fontId="0" fillId="0" borderId="15" xfId="0" applyNumberFormat="1" applyBorder="1" applyAlignment="1">
      <alignment vertical="center"/>
    </xf>
    <xf numFmtId="164" fontId="0" fillId="0" borderId="15" xfId="0" applyNumberFormat="1" applyBorder="1" applyAlignment="1">
      <alignment horizontal="left"/>
    </xf>
    <xf numFmtId="164" fontId="0" fillId="0" borderId="20" xfId="0" applyNumberFormat="1" applyBorder="1"/>
    <xf numFmtId="0" fontId="2" fillId="2" borderId="15" xfId="0" applyFont="1" applyFill="1" applyBorder="1" applyAlignment="1">
      <alignment horizontal="centerContinuous" wrapText="1"/>
    </xf>
    <xf numFmtId="0" fontId="2" fillId="2" borderId="20" xfId="0" applyFont="1" applyFill="1" applyBorder="1" applyAlignment="1">
      <alignment horizontal="centerContinuous" wrapText="1"/>
    </xf>
    <xf numFmtId="0" fontId="2" fillId="0" borderId="21" xfId="0" quotePrefix="1" applyFont="1" applyBorder="1" applyAlignment="1">
      <alignment horizontal="left"/>
    </xf>
    <xf numFmtId="0" fontId="0" fillId="0" borderId="10" xfId="0" quotePrefix="1" applyBorder="1" applyAlignment="1">
      <alignment horizontal="center"/>
    </xf>
    <xf numFmtId="0" fontId="0" fillId="0" borderId="22" xfId="0" applyBorder="1" applyAlignment="1">
      <alignment horizontal="left" wrapText="1"/>
    </xf>
    <xf numFmtId="1" fontId="0" fillId="3" borderId="5" xfId="0" applyNumberFormat="1" applyFill="1" applyBorder="1" applyAlignment="1">
      <alignment vertical="center"/>
    </xf>
    <xf numFmtId="1" fontId="0" fillId="3" borderId="17" xfId="0" applyNumberFormat="1" applyFill="1" applyBorder="1" applyAlignment="1">
      <alignment vertical="center"/>
    </xf>
    <xf numFmtId="0" fontId="2" fillId="0" borderId="33" xfId="0" applyFont="1" applyBorder="1"/>
    <xf numFmtId="0" fontId="2" fillId="0" borderId="4" xfId="0" applyFont="1" applyBorder="1" applyAlignment="1">
      <alignment horizontal="left"/>
    </xf>
    <xf numFmtId="0" fontId="8" fillId="0" borderId="0" xfId="0" applyFont="1"/>
    <xf numFmtId="1" fontId="0" fillId="3" borderId="13" xfId="0" applyNumberFormat="1" applyFill="1" applyBorder="1" applyAlignment="1">
      <alignment vertical="center"/>
    </xf>
    <xf numFmtId="0" fontId="2" fillId="0" borderId="7" xfId="0" applyFont="1" applyBorder="1" applyAlignment="1">
      <alignment horizontal="right"/>
    </xf>
    <xf numFmtId="164" fontId="0" fillId="0" borderId="10" xfId="0" applyNumberFormat="1" applyBorder="1" applyAlignment="1">
      <alignment horizontal="left"/>
    </xf>
    <xf numFmtId="164" fontId="0" fillId="0" borderId="22" xfId="0" applyNumberFormat="1" applyBorder="1"/>
    <xf numFmtId="164" fontId="0" fillId="0" borderId="34" xfId="0" applyNumberFormat="1" applyBorder="1" applyAlignment="1">
      <alignment horizontal="left"/>
    </xf>
    <xf numFmtId="164" fontId="0" fillId="0" borderId="35" xfId="0" applyNumberFormat="1" applyBorder="1"/>
    <xf numFmtId="0" fontId="3" fillId="0" borderId="5" xfId="0" applyFont="1" applyBorder="1" applyAlignment="1">
      <alignment horizontal="right"/>
    </xf>
    <xf numFmtId="1" fontId="3" fillId="0" borderId="5" xfId="0" applyNumberFormat="1" applyFont="1" applyBorder="1"/>
    <xf numFmtId="9" fontId="3" fillId="0" borderId="16" xfId="0" applyNumberFormat="1" applyFont="1" applyBorder="1" applyAlignment="1">
      <alignment horizontal="center"/>
    </xf>
    <xf numFmtId="0" fontId="3" fillId="0" borderId="25" xfId="0" applyFont="1" applyBorder="1" applyAlignment="1">
      <alignment horizontal="right"/>
    </xf>
    <xf numFmtId="1" fontId="3" fillId="0" borderId="25" xfId="0" applyNumberFormat="1" applyFont="1" applyBorder="1"/>
    <xf numFmtId="0" fontId="3" fillId="0" borderId="13" xfId="0" applyFont="1" applyBorder="1" applyAlignment="1">
      <alignment horizontal="right"/>
    </xf>
    <xf numFmtId="1" fontId="3" fillId="0" borderId="13" xfId="0" applyNumberFormat="1" applyFont="1" applyBorder="1"/>
    <xf numFmtId="9" fontId="3" fillId="0" borderId="27" xfId="0" applyNumberFormat="1" applyFont="1" applyBorder="1" applyAlignment="1">
      <alignment horizontal="center"/>
    </xf>
    <xf numFmtId="9" fontId="3" fillId="0" borderId="31" xfId="0" applyNumberFormat="1" applyFont="1" applyBorder="1" applyAlignment="1">
      <alignment horizontal="center"/>
    </xf>
    <xf numFmtId="9" fontId="3" fillId="0" borderId="30" xfId="0" applyNumberFormat="1" applyFont="1" applyBorder="1" applyAlignment="1">
      <alignment horizontal="center"/>
    </xf>
    <xf numFmtId="9" fontId="0" fillId="5" borderId="7" xfId="1" applyFont="1" applyFill="1" applyBorder="1"/>
    <xf numFmtId="9" fontId="0" fillId="5" borderId="16" xfId="0" applyNumberFormat="1" applyFill="1" applyBorder="1" applyAlignment="1">
      <alignment horizontal="center" vertical="center"/>
    </xf>
    <xf numFmtId="0" fontId="4" fillId="0" borderId="0" xfId="0" applyFont="1" applyAlignment="1">
      <alignment vertical="top"/>
    </xf>
    <xf numFmtId="0" fontId="10" fillId="2" borderId="36" xfId="0" applyFont="1" applyFill="1" applyBorder="1" applyAlignment="1">
      <alignment vertical="top" wrapText="1"/>
    </xf>
    <xf numFmtId="0" fontId="10" fillId="2" borderId="39" xfId="0" applyFont="1" applyFill="1" applyBorder="1" applyAlignment="1">
      <alignment vertical="top" wrapText="1"/>
    </xf>
    <xf numFmtId="0" fontId="10" fillId="2" borderId="40" xfId="0" applyFont="1" applyFill="1" applyBorder="1" applyAlignment="1">
      <alignment vertical="top" wrapText="1"/>
    </xf>
    <xf numFmtId="0" fontId="10" fillId="2" borderId="41" xfId="0" applyFont="1" applyFill="1" applyBorder="1" applyAlignment="1">
      <alignment vertical="top" wrapText="1"/>
    </xf>
    <xf numFmtId="0" fontId="10" fillId="0" borderId="0" xfId="0" applyFont="1" applyAlignment="1">
      <alignment vertical="top" wrapText="1"/>
    </xf>
    <xf numFmtId="0" fontId="10" fillId="0" borderId="1" xfId="0" applyFont="1" applyBorder="1" applyAlignment="1">
      <alignment vertical="top" wrapText="1"/>
    </xf>
    <xf numFmtId="0" fontId="6" fillId="2" borderId="36" xfId="0" applyFont="1" applyFill="1" applyBorder="1" applyAlignment="1">
      <alignment vertical="top" wrapText="1"/>
    </xf>
    <xf numFmtId="0" fontId="5" fillId="0" borderId="1" xfId="0" applyFont="1" applyBorder="1" applyAlignment="1">
      <alignment vertical="top" wrapText="1"/>
    </xf>
    <xf numFmtId="0" fontId="6" fillId="2" borderId="37" xfId="0" applyFont="1" applyFill="1" applyBorder="1" applyAlignment="1">
      <alignment vertical="top" wrapText="1"/>
    </xf>
    <xf numFmtId="0" fontId="5" fillId="0" borderId="2" xfId="0" applyFont="1" applyBorder="1" applyAlignment="1">
      <alignment vertical="top" wrapText="1"/>
    </xf>
    <xf numFmtId="0" fontId="5" fillId="0" borderId="38" xfId="0" applyFont="1" applyBorder="1" applyAlignment="1">
      <alignment vertical="top" wrapText="1"/>
    </xf>
    <xf numFmtId="0" fontId="6" fillId="2" borderId="42" xfId="0" applyFont="1" applyFill="1" applyBorder="1" applyAlignment="1">
      <alignment vertical="top" wrapText="1"/>
    </xf>
    <xf numFmtId="0" fontId="5" fillId="0" borderId="33" xfId="0" applyFont="1" applyBorder="1" applyAlignment="1">
      <alignment vertical="top" wrapText="1"/>
    </xf>
    <xf numFmtId="0" fontId="5" fillId="0" borderId="43" xfId="0" applyFont="1" applyBorder="1" applyAlignment="1">
      <alignment vertical="top" wrapText="1"/>
    </xf>
    <xf numFmtId="0" fontId="2" fillId="0" borderId="29" xfId="0" applyFont="1" applyBorder="1" applyAlignment="1">
      <alignment horizontal="center"/>
    </xf>
    <xf numFmtId="164" fontId="0" fillId="0" borderId="27" xfId="0" applyNumberFormat="1" applyBorder="1" applyAlignment="1">
      <alignment horizontal="center"/>
    </xf>
    <xf numFmtId="164" fontId="0" fillId="0" borderId="31" xfId="0" applyNumberFormat="1" applyBorder="1" applyAlignment="1">
      <alignment horizontal="center"/>
    </xf>
    <xf numFmtId="164" fontId="0" fillId="0" borderId="30" xfId="0" applyNumberFormat="1" applyBorder="1" applyAlignment="1">
      <alignment horizontal="center"/>
    </xf>
    <xf numFmtId="0" fontId="2" fillId="0" borderId="28" xfId="0" applyFont="1" applyBorder="1" applyAlignment="1">
      <alignment horizontal="center"/>
    </xf>
    <xf numFmtId="0" fontId="0" fillId="0" borderId="30" xfId="0" quotePrefix="1" applyBorder="1" applyAlignment="1">
      <alignment horizontal="center" wrapText="1"/>
    </xf>
    <xf numFmtId="0" fontId="2" fillId="0" borderId="0" xfId="0" applyFont="1" applyAlignment="1">
      <alignment horizontal="right"/>
    </xf>
    <xf numFmtId="9" fontId="0" fillId="5" borderId="0" xfId="1" applyFont="1" applyFill="1"/>
    <xf numFmtId="0" fontId="0" fillId="0" borderId="33" xfId="0" applyBorder="1"/>
    <xf numFmtId="0" fontId="0" fillId="0" borderId="44" xfId="0" applyBorder="1"/>
    <xf numFmtId="9" fontId="0" fillId="5" borderId="0" xfId="1" applyFont="1" applyFill="1" applyAlignment="1">
      <alignment horizontal="right"/>
    </xf>
    <xf numFmtId="0" fontId="0" fillId="7" borderId="17" xfId="0" applyFill="1" applyBorder="1" applyAlignment="1">
      <alignment horizontal="left"/>
    </xf>
    <xf numFmtId="0" fontId="0" fillId="6" borderId="17" xfId="0" applyFill="1" applyBorder="1" applyAlignment="1">
      <alignment horizontal="left"/>
    </xf>
    <xf numFmtId="1" fontId="0" fillId="0" borderId="13" xfId="0" applyNumberFormat="1" applyBorder="1" applyAlignment="1">
      <alignment horizontal="right" vertical="center"/>
    </xf>
    <xf numFmtId="9" fontId="0" fillId="0" borderId="0" xfId="1" applyFont="1" applyAlignment="1">
      <alignment horizontal="right"/>
    </xf>
    <xf numFmtId="0" fontId="0" fillId="0" borderId="6" xfId="0" applyBorder="1" applyAlignment="1">
      <alignment vertical="center"/>
    </xf>
    <xf numFmtId="0" fontId="0" fillId="0" borderId="7" xfId="0" applyBorder="1" applyAlignment="1">
      <alignment horizontal="left" vertical="center" wrapText="1"/>
    </xf>
    <xf numFmtId="0" fontId="0" fillId="0" borderId="0" xfId="0" applyAlignment="1">
      <alignment horizontal="right" vertical="center"/>
    </xf>
    <xf numFmtId="1" fontId="0" fillId="0" borderId="7" xfId="0" applyNumberFormat="1" applyBorder="1" applyAlignment="1">
      <alignment vertical="center"/>
    </xf>
    <xf numFmtId="9" fontId="0" fillId="0" borderId="7" xfId="0" applyNumberFormat="1" applyBorder="1" applyAlignment="1">
      <alignment horizontal="right" vertical="center"/>
    </xf>
    <xf numFmtId="9" fontId="0" fillId="0" borderId="7" xfId="0" applyNumberFormat="1" applyBorder="1" applyAlignment="1">
      <alignment horizontal="center" vertical="center"/>
    </xf>
    <xf numFmtId="1" fontId="0" fillId="0" borderId="7" xfId="0" applyNumberFormat="1" applyBorder="1" applyAlignment="1">
      <alignment horizontal="center" vertical="center"/>
    </xf>
    <xf numFmtId="9" fontId="0" fillId="0" borderId="7" xfId="1" applyFont="1" applyBorder="1" applyAlignment="1">
      <alignment horizontal="center" vertical="center"/>
    </xf>
    <xf numFmtId="1" fontId="0" fillId="0" borderId="0" xfId="0" applyNumberFormat="1" applyAlignment="1">
      <alignment horizontal="right" vertical="center"/>
    </xf>
    <xf numFmtId="0" fontId="0" fillId="0" borderId="7" xfId="0" applyBorder="1" applyAlignment="1">
      <alignment horizontal="center" vertical="center"/>
    </xf>
    <xf numFmtId="0" fontId="0" fillId="0" borderId="7" xfId="0" applyBorder="1" applyAlignment="1">
      <alignment vertical="center"/>
    </xf>
    <xf numFmtId="0" fontId="0" fillId="0" borderId="0" xfId="0" applyAlignment="1">
      <alignment horizontal="left" vertical="center" wrapText="1"/>
    </xf>
    <xf numFmtId="1" fontId="0" fillId="0" borderId="0" xfId="0" applyNumberFormat="1" applyAlignment="1">
      <alignment vertical="center"/>
    </xf>
    <xf numFmtId="9" fontId="0" fillId="0" borderId="0" xfId="0" applyNumberFormat="1" applyAlignment="1">
      <alignment horizontal="right" vertical="center"/>
    </xf>
    <xf numFmtId="9" fontId="0" fillId="0" borderId="0" xfId="0" applyNumberFormat="1" applyAlignment="1">
      <alignment horizontal="center" vertical="center"/>
    </xf>
    <xf numFmtId="1"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2" fillId="0" borderId="7" xfId="0" applyFont="1" applyBorder="1" applyAlignment="1">
      <alignment horizontal="center"/>
    </xf>
    <xf numFmtId="0" fontId="2" fillId="0" borderId="0" xfId="0" applyFont="1" applyAlignment="1">
      <alignment horizontal="center"/>
    </xf>
    <xf numFmtId="9" fontId="0" fillId="0" borderId="10" xfId="0" applyNumberFormat="1" applyBorder="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xf numFmtId="9" fontId="0" fillId="0" borderId="45" xfId="0" applyNumberFormat="1" applyBorder="1" applyAlignment="1">
      <alignment horizontal="center" vertical="center"/>
    </xf>
    <xf numFmtId="0" fontId="0" fillId="0" borderId="22" xfId="0" quotePrefix="1" applyBorder="1" applyAlignment="1">
      <alignment horizontal="center" wrapText="1"/>
    </xf>
    <xf numFmtId="1" fontId="3" fillId="0" borderId="16" xfId="1" applyNumberFormat="1" applyFont="1" applyBorder="1" applyAlignment="1">
      <alignment horizontal="right"/>
    </xf>
    <xf numFmtId="1" fontId="3" fillId="0" borderId="26" xfId="1" applyNumberFormat="1" applyFont="1" applyBorder="1" applyAlignment="1">
      <alignment horizontal="right"/>
    </xf>
    <xf numFmtId="1" fontId="3" fillId="0" borderId="11" xfId="1" applyNumberFormat="1" applyFont="1" applyBorder="1" applyAlignment="1">
      <alignment horizontal="right"/>
    </xf>
    <xf numFmtId="0" fontId="0" fillId="0" borderId="11" xfId="0" applyBorder="1" applyAlignment="1">
      <alignment horizontal="center" vertical="center"/>
    </xf>
    <xf numFmtId="0" fontId="2" fillId="0" borderId="21" xfId="0" applyFont="1" applyBorder="1" applyAlignment="1">
      <alignment horizontal="center"/>
    </xf>
    <xf numFmtId="9" fontId="0" fillId="0" borderId="22" xfId="0" applyNumberFormat="1" applyBorder="1" applyAlignment="1">
      <alignment horizontal="center" vertical="center"/>
    </xf>
    <xf numFmtId="0" fontId="2" fillId="2" borderId="20" xfId="0" applyFont="1" applyFill="1" applyBorder="1" applyAlignment="1">
      <alignment horizontal="center" wrapText="1"/>
    </xf>
    <xf numFmtId="0" fontId="0" fillId="0" borderId="10" xfId="0" quotePrefix="1" applyBorder="1" applyAlignment="1">
      <alignment horizontal="left"/>
    </xf>
    <xf numFmtId="9" fontId="3" fillId="3" borderId="16" xfId="1" applyFont="1" applyFill="1" applyBorder="1" applyAlignment="1">
      <alignment horizontal="center"/>
    </xf>
    <xf numFmtId="9" fontId="3" fillId="3" borderId="26" xfId="1" applyFont="1" applyFill="1" applyBorder="1" applyAlignment="1">
      <alignment horizontal="center"/>
    </xf>
    <xf numFmtId="9" fontId="3" fillId="3" borderId="11" xfId="1" applyFont="1" applyFill="1" applyBorder="1" applyAlignment="1">
      <alignment horizontal="center"/>
    </xf>
    <xf numFmtId="9" fontId="0" fillId="3" borderId="17" xfId="1" applyFont="1" applyFill="1" applyBorder="1"/>
    <xf numFmtId="9" fontId="0" fillId="3" borderId="24" xfId="1" applyFont="1" applyFill="1" applyBorder="1"/>
    <xf numFmtId="9" fontId="0" fillId="3" borderId="19" xfId="1" applyFont="1" applyFill="1" applyBorder="1"/>
    <xf numFmtId="0" fontId="0" fillId="0" borderId="22" xfId="0" applyBorder="1" applyAlignment="1">
      <alignment horizontal="left" vertical="center" wrapText="1"/>
    </xf>
    <xf numFmtId="0" fontId="2" fillId="0" borderId="47" xfId="0" quotePrefix="1" applyFont="1" applyBorder="1" applyAlignment="1">
      <alignment horizontal="center"/>
    </xf>
    <xf numFmtId="0" fontId="2" fillId="2" borderId="46" xfId="0" applyFont="1" applyFill="1" applyBorder="1" applyAlignment="1">
      <alignment wrapText="1"/>
    </xf>
    <xf numFmtId="1" fontId="0" fillId="0" borderId="46" xfId="0" applyNumberFormat="1" applyBorder="1"/>
    <xf numFmtId="1" fontId="0" fillId="0" borderId="49" xfId="0" applyNumberFormat="1" applyBorder="1"/>
    <xf numFmtId="1" fontId="0" fillId="0" borderId="48" xfId="0" applyNumberFormat="1" applyBorder="1"/>
    <xf numFmtId="1" fontId="0" fillId="3" borderId="48" xfId="0" applyNumberFormat="1" applyFill="1" applyBorder="1" applyAlignment="1">
      <alignment vertical="center"/>
    </xf>
    <xf numFmtId="0" fontId="2" fillId="2" borderId="50" xfId="0" applyFont="1" applyFill="1" applyBorder="1" applyAlignment="1">
      <alignment horizontal="center" wrapText="1"/>
    </xf>
    <xf numFmtId="0" fontId="0" fillId="0" borderId="48" xfId="0" applyBorder="1" applyAlignment="1">
      <alignment horizontal="center" wrapText="1"/>
    </xf>
    <xf numFmtId="0" fontId="2" fillId="0" borderId="51" xfId="0" quotePrefix="1" applyFont="1" applyBorder="1" applyAlignment="1">
      <alignment horizontal="center"/>
    </xf>
    <xf numFmtId="0" fontId="0" fillId="0" borderId="52" xfId="0" quotePrefix="1" applyBorder="1" applyAlignment="1">
      <alignment horizontal="center" wrapText="1"/>
    </xf>
    <xf numFmtId="0" fontId="0" fillId="0" borderId="46" xfId="0" applyBorder="1" applyAlignment="1">
      <alignment horizontal="center" wrapText="1"/>
    </xf>
    <xf numFmtId="0" fontId="0" fillId="0" borderId="49" xfId="0" applyBorder="1" applyAlignment="1">
      <alignment horizontal="center" wrapText="1"/>
    </xf>
    <xf numFmtId="9" fontId="0" fillId="0" borderId="52" xfId="0" applyNumberFormat="1" applyBorder="1" applyAlignment="1">
      <alignment horizontal="center" vertical="center"/>
    </xf>
    <xf numFmtId="164" fontId="0" fillId="0" borderId="20" xfId="1" applyNumberFormat="1" applyFont="1" applyBorder="1" applyAlignment="1">
      <alignment horizontal="center"/>
    </xf>
    <xf numFmtId="164" fontId="0" fillId="0" borderId="35" xfId="1" applyNumberFormat="1" applyFont="1" applyBorder="1" applyAlignment="1">
      <alignment horizontal="center"/>
    </xf>
    <xf numFmtId="164" fontId="0" fillId="0" borderId="22" xfId="1" applyNumberFormat="1" applyFont="1" applyBorder="1" applyAlignment="1">
      <alignment horizontal="center"/>
    </xf>
    <xf numFmtId="0" fontId="0" fillId="0" borderId="52" xfId="0" applyBorder="1" applyAlignment="1">
      <alignment horizontal="center" vertical="center"/>
    </xf>
    <xf numFmtId="0" fontId="0" fillId="0" borderId="50" xfId="0" applyBorder="1" applyAlignment="1">
      <alignment horizontal="center" wrapText="1"/>
    </xf>
    <xf numFmtId="0" fontId="0" fillId="0" borderId="53" xfId="0" applyBorder="1" applyAlignment="1">
      <alignment horizontal="center" wrapText="1"/>
    </xf>
    <xf numFmtId="0" fontId="0" fillId="0" borderId="52" xfId="0" applyBorder="1" applyAlignment="1">
      <alignment horizontal="center" wrapText="1"/>
    </xf>
    <xf numFmtId="0" fontId="2" fillId="0" borderId="55" xfId="0" quotePrefix="1" applyFont="1" applyBorder="1" applyAlignment="1">
      <alignment horizontal="center"/>
    </xf>
    <xf numFmtId="0" fontId="0" fillId="0" borderId="56" xfId="0" quotePrefix="1" applyBorder="1" applyAlignment="1">
      <alignment horizontal="center" wrapText="1"/>
    </xf>
    <xf numFmtId="0" fontId="2" fillId="2" borderId="57" xfId="0" applyFont="1" applyFill="1" applyBorder="1" applyAlignment="1">
      <alignment horizontal="center" wrapText="1"/>
    </xf>
    <xf numFmtId="9" fontId="3" fillId="0" borderId="57" xfId="0" applyNumberFormat="1" applyFont="1" applyBorder="1" applyAlignment="1">
      <alignment horizontal="center"/>
    </xf>
    <xf numFmtId="9" fontId="3" fillId="0" borderId="54" xfId="0" applyNumberFormat="1" applyFont="1" applyBorder="1" applyAlignment="1">
      <alignment horizontal="center"/>
    </xf>
    <xf numFmtId="9" fontId="3" fillId="0" borderId="56" xfId="0" applyNumberFormat="1" applyFont="1" applyBorder="1" applyAlignment="1">
      <alignment horizontal="center"/>
    </xf>
    <xf numFmtId="9" fontId="3" fillId="0" borderId="20" xfId="0" applyNumberFormat="1" applyFont="1" applyBorder="1" applyAlignment="1">
      <alignment horizontal="center"/>
    </xf>
    <xf numFmtId="9" fontId="3" fillId="0" borderId="35" xfId="0" applyNumberFormat="1" applyFont="1" applyBorder="1" applyAlignment="1">
      <alignment horizontal="center"/>
    </xf>
    <xf numFmtId="9" fontId="3" fillId="0" borderId="22" xfId="0" applyNumberFormat="1" applyFont="1" applyBorder="1" applyAlignment="1">
      <alignment horizontal="center"/>
    </xf>
    <xf numFmtId="0" fontId="0" fillId="0" borderId="48" xfId="0" quotePrefix="1" applyBorder="1" applyAlignment="1">
      <alignment horizontal="center" wrapText="1"/>
    </xf>
    <xf numFmtId="1" fontId="0" fillId="0" borderId="11" xfId="0" applyNumberFormat="1" applyBorder="1" applyAlignment="1">
      <alignment horizontal="right" vertical="center"/>
    </xf>
    <xf numFmtId="164" fontId="0" fillId="0" borderId="15" xfId="1" applyNumberFormat="1" applyFont="1" applyBorder="1" applyAlignment="1">
      <alignment horizontal="left"/>
    </xf>
    <xf numFmtId="164" fontId="0" fillId="0" borderId="34" xfId="1" applyNumberFormat="1" applyFont="1" applyBorder="1" applyAlignment="1">
      <alignment horizontal="left"/>
    </xf>
    <xf numFmtId="164" fontId="0" fillId="0" borderId="10" xfId="1" applyNumberFormat="1" applyFont="1" applyBorder="1" applyAlignment="1">
      <alignment horizontal="left"/>
    </xf>
    <xf numFmtId="0" fontId="0" fillId="0" borderId="19" xfId="0" quotePrefix="1" applyBorder="1" applyAlignment="1">
      <alignment horizontal="center" wrapText="1"/>
    </xf>
    <xf numFmtId="1" fontId="3" fillId="0" borderId="58" xfId="1" applyNumberFormat="1" applyFont="1" applyBorder="1" applyAlignment="1">
      <alignment horizontal="right"/>
    </xf>
    <xf numFmtId="9" fontId="3" fillId="3" borderId="59" xfId="1" applyFont="1" applyFill="1" applyBorder="1" applyAlignment="1">
      <alignment horizontal="center"/>
    </xf>
    <xf numFmtId="164" fontId="3" fillId="3" borderId="11" xfId="1" applyNumberFormat="1" applyFont="1" applyFill="1" applyBorder="1" applyAlignment="1">
      <alignment horizontal="center"/>
    </xf>
    <xf numFmtId="164" fontId="9" fillId="0" borderId="19" xfId="0" applyNumberFormat="1" applyFont="1" applyBorder="1" applyAlignment="1">
      <alignment horizontal="right"/>
    </xf>
    <xf numFmtId="164" fontId="3" fillId="7" borderId="24" xfId="0" applyNumberFormat="1" applyFont="1" applyFill="1" applyBorder="1" applyAlignment="1">
      <alignment horizontal="right"/>
    </xf>
    <xf numFmtId="164" fontId="9" fillId="0" borderId="17" xfId="0" applyNumberFormat="1" applyFont="1" applyBorder="1" applyAlignment="1">
      <alignment horizontal="right"/>
    </xf>
    <xf numFmtId="9" fontId="0" fillId="8" borderId="5" xfId="1" applyFont="1" applyFill="1" applyBorder="1" applyAlignment="1">
      <alignment horizontal="center"/>
    </xf>
    <xf numFmtId="164" fontId="0" fillId="0" borderId="19" xfId="0" applyNumberFormat="1" applyBorder="1" applyAlignment="1">
      <alignment horizontal="right" vertical="center"/>
    </xf>
    <xf numFmtId="164" fontId="0" fillId="0" borderId="19" xfId="1" applyNumberFormat="1" applyFont="1" applyBorder="1" applyAlignment="1">
      <alignment horizontal="right" vertical="center"/>
    </xf>
    <xf numFmtId="164" fontId="11" fillId="0" borderId="24" xfId="0" applyNumberFormat="1" applyFont="1" applyBorder="1" applyAlignment="1">
      <alignment horizontal="right"/>
    </xf>
    <xf numFmtId="164" fontId="0" fillId="0" borderId="17" xfId="0" applyNumberFormat="1" applyBorder="1" applyAlignment="1">
      <alignment horizontal="right"/>
    </xf>
    <xf numFmtId="164" fontId="0" fillId="7" borderId="17" xfId="0" applyNumberFormat="1" applyFill="1" applyBorder="1" applyAlignment="1">
      <alignment horizontal="right" vertical="center"/>
    </xf>
    <xf numFmtId="164" fontId="0" fillId="6" borderId="17" xfId="0" applyNumberFormat="1" applyFill="1" applyBorder="1" applyAlignment="1">
      <alignment horizontal="right" vertical="center"/>
    </xf>
    <xf numFmtId="164" fontId="0" fillId="4" borderId="17" xfId="0" applyNumberFormat="1" applyFill="1" applyBorder="1" applyAlignment="1">
      <alignment horizontal="right" vertical="center"/>
    </xf>
    <xf numFmtId="164" fontId="3" fillId="7" borderId="50" xfId="0" applyNumberFormat="1" applyFont="1" applyFill="1" applyBorder="1" applyAlignment="1">
      <alignment horizontal="center"/>
    </xf>
    <xf numFmtId="164" fontId="3" fillId="7" borderId="53" xfId="0" applyNumberFormat="1" applyFont="1" applyFill="1" applyBorder="1" applyAlignment="1">
      <alignment horizontal="center"/>
    </xf>
    <xf numFmtId="164" fontId="3" fillId="7" borderId="52" xfId="0" applyNumberFormat="1" applyFont="1" applyFill="1" applyBorder="1" applyAlignment="1">
      <alignment horizontal="center"/>
    </xf>
    <xf numFmtId="164" fontId="0" fillId="4" borderId="5" xfId="1" applyNumberFormat="1" applyFont="1" applyFill="1" applyBorder="1" applyAlignment="1">
      <alignment horizontal="center"/>
    </xf>
    <xf numFmtId="164" fontId="0" fillId="0" borderId="16" xfId="0" applyNumberFormat="1" applyBorder="1" applyAlignment="1">
      <alignment horizontal="center"/>
    </xf>
    <xf numFmtId="164" fontId="0" fillId="7" borderId="5" xfId="1" applyNumberFormat="1" applyFont="1" applyFill="1" applyBorder="1" applyAlignment="1">
      <alignment horizontal="center"/>
    </xf>
    <xf numFmtId="164" fontId="0" fillId="0" borderId="15" xfId="0" applyNumberFormat="1" applyBorder="1" applyAlignment="1">
      <alignment horizontal="center" vertical="center"/>
    </xf>
    <xf numFmtId="164" fontId="0" fillId="6" borderId="5" xfId="1" applyNumberFormat="1" applyFont="1" applyFill="1" applyBorder="1" applyAlignment="1">
      <alignment horizontal="center"/>
    </xf>
    <xf numFmtId="14" fontId="0" fillId="0" borderId="0" xfId="0" applyNumberFormat="1" applyAlignment="1">
      <alignment horizontal="right"/>
    </xf>
    <xf numFmtId="164" fontId="0" fillId="0" borderId="0" xfId="1" applyNumberFormat="1" applyFont="1"/>
    <xf numFmtId="0" fontId="2" fillId="2" borderId="0" xfId="0" applyFont="1" applyFill="1" applyBorder="1" applyAlignment="1">
      <alignment horizontal="center" wrapText="1"/>
    </xf>
    <xf numFmtId="0" fontId="2" fillId="0" borderId="5" xfId="0" applyFont="1" applyBorder="1" applyAlignment="1">
      <alignment vertical="center"/>
    </xf>
    <xf numFmtId="0" fontId="2" fillId="0" borderId="17" xfId="0" applyFont="1" applyBorder="1" applyAlignment="1">
      <alignment horizontal="left" vertical="center" wrapText="1"/>
    </xf>
    <xf numFmtId="9" fontId="2" fillId="5" borderId="16" xfId="0" applyNumberFormat="1" applyFont="1" applyFill="1" applyBorder="1" applyAlignment="1">
      <alignment horizontal="center" vertical="center"/>
    </xf>
    <xf numFmtId="0" fontId="3" fillId="0" borderId="5" xfId="0" applyFont="1" applyBorder="1" applyAlignment="1">
      <alignment horizontal="center"/>
    </xf>
    <xf numFmtId="164" fontId="0" fillId="0" borderId="17" xfId="0" applyNumberFormat="1" applyBorder="1" applyAlignment="1">
      <alignment horizontal="center"/>
    </xf>
    <xf numFmtId="9" fontId="0" fillId="3" borderId="0" xfId="1" applyFont="1" applyFill="1" applyAlignment="1">
      <alignment horizontal="center"/>
    </xf>
    <xf numFmtId="0" fontId="2" fillId="2" borderId="14" xfId="0" applyFont="1" applyFill="1" applyBorder="1" applyAlignment="1">
      <alignment horizontal="center" wrapText="1"/>
    </xf>
    <xf numFmtId="1" fontId="3" fillId="0" borderId="14" xfId="0" applyNumberFormat="1" applyFont="1" applyBorder="1"/>
    <xf numFmtId="1" fontId="3" fillId="0" borderId="60" xfId="0" applyNumberFormat="1" applyFont="1" applyBorder="1"/>
    <xf numFmtId="1" fontId="3" fillId="0" borderId="9" xfId="0" applyNumberFormat="1" applyFont="1" applyBorder="1"/>
    <xf numFmtId="1" fontId="0" fillId="3" borderId="9" xfId="0" applyNumberFormat="1" applyFill="1" applyBorder="1" applyAlignment="1">
      <alignment vertical="center"/>
    </xf>
    <xf numFmtId="9" fontId="0" fillId="5" borderId="0" xfId="1" applyFont="1" applyFill="1" applyBorder="1"/>
    <xf numFmtId="165" fontId="3" fillId="0" borderId="5" xfId="2" applyNumberFormat="1" applyFont="1" applyBorder="1" applyAlignment="1"/>
    <xf numFmtId="10" fontId="0" fillId="3" borderId="17" xfId="1" applyNumberFormat="1" applyFont="1" applyFill="1" applyBorder="1"/>
    <xf numFmtId="10" fontId="0" fillId="3" borderId="24" xfId="1" applyNumberFormat="1" applyFont="1" applyFill="1" applyBorder="1"/>
    <xf numFmtId="10" fontId="0" fillId="3" borderId="19" xfId="1" applyNumberFormat="1" applyFont="1" applyFill="1" applyBorder="1"/>
    <xf numFmtId="0" fontId="0" fillId="0" borderId="0" xfId="0" applyBorder="1" applyAlignment="1">
      <alignment horizontal="right"/>
    </xf>
    <xf numFmtId="0" fontId="2" fillId="2" borderId="14" xfId="0" applyFont="1" applyFill="1" applyBorder="1" applyAlignment="1">
      <alignment wrapText="1"/>
    </xf>
    <xf numFmtId="0" fontId="0" fillId="0" borderId="14" xfId="0" applyBorder="1"/>
    <xf numFmtId="0" fontId="0" fillId="0" borderId="0" xfId="0" applyBorder="1" applyAlignment="1">
      <alignment horizontal="left"/>
    </xf>
    <xf numFmtId="9" fontId="0" fillId="0" borderId="15" xfId="1" applyFont="1" applyBorder="1" applyAlignment="1">
      <alignment horizontal="center" vertical="center"/>
    </xf>
    <xf numFmtId="2" fontId="3" fillId="0" borderId="16" xfId="1" applyNumberFormat="1" applyFont="1" applyBorder="1" applyAlignment="1">
      <alignment horizontal="right"/>
    </xf>
    <xf numFmtId="0" fontId="2" fillId="0" borderId="0" xfId="0" quotePrefix="1" applyFont="1" applyFill="1" applyBorder="1" applyAlignment="1">
      <alignment horizontal="center"/>
    </xf>
    <xf numFmtId="0" fontId="2" fillId="0" borderId="3" xfId="0" quotePrefix="1" applyFont="1" applyBorder="1" applyAlignment="1">
      <alignment horizontal="center"/>
    </xf>
    <xf numFmtId="0" fontId="19" fillId="0" borderId="0" xfId="0" applyFont="1"/>
    <xf numFmtId="0" fontId="2" fillId="0" borderId="16" xfId="0" applyFont="1" applyBorder="1" applyAlignment="1">
      <alignment horizontal="left" vertical="center" wrapText="1"/>
    </xf>
    <xf numFmtId="0" fontId="2" fillId="0" borderId="5" xfId="0" applyFont="1" applyBorder="1" applyAlignment="1">
      <alignment horizontal="center" vertical="center"/>
    </xf>
    <xf numFmtId="1" fontId="2" fillId="3" borderId="5" xfId="0" applyNumberFormat="1" applyFont="1" applyFill="1" applyBorder="1" applyAlignment="1">
      <alignment horizontal="center" vertical="center"/>
    </xf>
    <xf numFmtId="164" fontId="2" fillId="4" borderId="17" xfId="0" applyNumberFormat="1" applyFont="1" applyFill="1" applyBorder="1" applyAlignment="1">
      <alignment horizontal="center" vertical="center"/>
    </xf>
    <xf numFmtId="0" fontId="2" fillId="0" borderId="14" xfId="0" applyFont="1" applyBorder="1" applyAlignment="1">
      <alignment vertical="center"/>
    </xf>
    <xf numFmtId="9" fontId="3" fillId="0" borderId="21" xfId="0" applyNumberFormat="1" applyFont="1" applyBorder="1" applyAlignment="1">
      <alignment horizontal="center"/>
    </xf>
    <xf numFmtId="166" fontId="2" fillId="0" borderId="5" xfId="0" applyNumberFormat="1" applyFont="1" applyBorder="1" applyAlignment="1">
      <alignment horizontal="center" vertical="center"/>
    </xf>
    <xf numFmtId="0" fontId="20" fillId="0" borderId="0" xfId="0" applyFont="1"/>
    <xf numFmtId="0" fontId="2" fillId="0" borderId="0" xfId="0" applyFon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wrapText="1"/>
    </xf>
    <xf numFmtId="0" fontId="2" fillId="0" borderId="0" xfId="0" applyFont="1" applyBorder="1" applyAlignment="1">
      <alignment horizontal="left"/>
    </xf>
    <xf numFmtId="9" fontId="3" fillId="0" borderId="0" xfId="0" applyNumberFormat="1" applyFont="1" applyBorder="1" applyAlignment="1">
      <alignment horizontal="center"/>
    </xf>
    <xf numFmtId="0" fontId="21" fillId="0" borderId="0" xfId="0" applyFont="1"/>
    <xf numFmtId="0" fontId="2" fillId="2" borderId="61" xfId="0" applyFont="1" applyFill="1" applyBorder="1" applyAlignment="1">
      <alignment horizontal="center" wrapText="1"/>
    </xf>
    <xf numFmtId="0" fontId="2" fillId="0" borderId="9" xfId="0" quotePrefix="1" applyFont="1" applyBorder="1" applyAlignment="1">
      <alignment horizontal="center"/>
    </xf>
    <xf numFmtId="0" fontId="2" fillId="0" borderId="21" xfId="0" quotePrefix="1" applyFont="1" applyBorder="1" applyAlignment="1">
      <alignment horizontal="center"/>
    </xf>
    <xf numFmtId="0" fontId="2" fillId="2" borderId="32" xfId="0" applyFont="1" applyFill="1" applyBorder="1" applyAlignment="1">
      <alignment horizontal="center" wrapText="1"/>
    </xf>
    <xf numFmtId="0" fontId="2" fillId="2" borderId="15" xfId="0" applyFont="1" applyFill="1" applyBorder="1" applyAlignment="1">
      <alignment horizontal="center" wrapText="1"/>
    </xf>
    <xf numFmtId="0" fontId="2" fillId="0" borderId="0" xfId="0" quotePrefix="1" applyFont="1" applyBorder="1" applyAlignment="1">
      <alignment horizontal="center"/>
    </xf>
    <xf numFmtId="0" fontId="15" fillId="2" borderId="0" xfId="0" applyFont="1" applyFill="1" applyBorder="1" applyAlignment="1">
      <alignment horizontal="center" wrapText="1"/>
    </xf>
    <xf numFmtId="0" fontId="15" fillId="2" borderId="4" xfId="0" applyFont="1" applyFill="1" applyBorder="1" applyAlignment="1">
      <alignment horizontal="center" wrapText="1"/>
    </xf>
    <xf numFmtId="164" fontId="12" fillId="0" borderId="0" xfId="1" applyNumberFormat="1" applyFont="1"/>
    <xf numFmtId="0" fontId="12" fillId="0" borderId="0" xfId="0" applyFont="1"/>
    <xf numFmtId="0" fontId="0" fillId="0" borderId="10" xfId="0" quotePrefix="1" applyBorder="1" applyAlignment="1">
      <alignment horizontal="center" wrapText="1"/>
    </xf>
    <xf numFmtId="164" fontId="0" fillId="0" borderId="15" xfId="1" applyNumberFormat="1" applyFont="1" applyBorder="1" applyAlignment="1">
      <alignment horizontal="center"/>
    </xf>
    <xf numFmtId="165" fontId="0" fillId="0" borderId="15" xfId="2" applyNumberFormat="1" applyFont="1" applyBorder="1" applyAlignment="1">
      <alignment horizontal="center"/>
    </xf>
    <xf numFmtId="165" fontId="2" fillId="0" borderId="5" xfId="0" applyNumberFormat="1" applyFont="1" applyBorder="1" applyAlignment="1">
      <alignment horizontal="right" vertical="center"/>
    </xf>
    <xf numFmtId="164" fontId="2" fillId="9" borderId="0" xfId="1" applyNumberFormat="1" applyFont="1" applyFill="1" applyAlignment="1">
      <alignment horizontal="right" wrapText="1"/>
    </xf>
    <xf numFmtId="164" fontId="2" fillId="2" borderId="0" xfId="1" applyNumberFormat="1" applyFont="1" applyFill="1" applyAlignment="1">
      <alignment horizontal="right" wrapText="1"/>
    </xf>
    <xf numFmtId="165" fontId="0" fillId="0" borderId="0" xfId="2" applyNumberFormat="1" applyFont="1" applyAlignment="1">
      <alignment horizontal="right"/>
    </xf>
    <xf numFmtId="0" fontId="2" fillId="9" borderId="20" xfId="0" quotePrefix="1" applyFont="1" applyFill="1" applyBorder="1" applyAlignment="1">
      <alignment horizontal="center" wrapText="1"/>
    </xf>
    <xf numFmtId="165" fontId="0" fillId="0" borderId="0" xfId="2" applyNumberFormat="1" applyFont="1"/>
    <xf numFmtId="0" fontId="19" fillId="0" borderId="0" xfId="0" applyFont="1" applyAlignment="1">
      <alignment horizontal="center" wrapText="1"/>
    </xf>
    <xf numFmtId="43" fontId="0" fillId="0" borderId="15" xfId="2" applyNumberFormat="1" applyFont="1" applyBorder="1" applyAlignment="1">
      <alignment horizontal="center"/>
    </xf>
    <xf numFmtId="0" fontId="0" fillId="0" borderId="11" xfId="0" quotePrefix="1" applyFont="1" applyBorder="1" applyAlignment="1">
      <alignment horizontal="center"/>
    </xf>
    <xf numFmtId="164" fontId="2" fillId="0" borderId="15" xfId="1" applyNumberFormat="1" applyFont="1" applyBorder="1" applyAlignment="1">
      <alignment horizontal="center"/>
    </xf>
    <xf numFmtId="164" fontId="0" fillId="0" borderId="0" xfId="1" applyNumberFormat="1" applyFont="1" applyBorder="1" applyAlignment="1">
      <alignment horizontal="center"/>
    </xf>
    <xf numFmtId="0" fontId="0" fillId="0" borderId="0" xfId="0" applyFill="1" applyBorder="1" applyAlignment="1">
      <alignment horizontal="center" wrapText="1"/>
    </xf>
    <xf numFmtId="0" fontId="0" fillId="0" borderId="16" xfId="0" applyBorder="1" applyAlignment="1">
      <alignment horizontal="center"/>
    </xf>
    <xf numFmtId="0" fontId="0" fillId="0" borderId="11" xfId="0" applyBorder="1" applyAlignment="1">
      <alignment horizontal="center"/>
    </xf>
    <xf numFmtId="0" fontId="0" fillId="0" borderId="16" xfId="0" applyBorder="1" applyAlignment="1">
      <alignment horizontal="center" vertical="center" wrapText="1"/>
    </xf>
    <xf numFmtId="166" fontId="2" fillId="0" borderId="5" xfId="2" applyNumberFormat="1" applyFont="1" applyBorder="1" applyAlignment="1">
      <alignment horizontal="center" vertical="center"/>
    </xf>
    <xf numFmtId="0" fontId="2" fillId="0" borderId="0" xfId="0" applyFont="1" applyBorder="1" applyAlignment="1">
      <alignment horizontal="center" vertical="center" wrapText="1"/>
    </xf>
    <xf numFmtId="0" fontId="0" fillId="0" borderId="0" xfId="0" applyAlignment="1">
      <alignment horizontal="center" wrapText="1"/>
    </xf>
    <xf numFmtId="164" fontId="2" fillId="2" borderId="0" xfId="1" applyNumberFormat="1" applyFont="1" applyFill="1" applyAlignment="1">
      <alignment horizontal="center" wrapText="1"/>
    </xf>
    <xf numFmtId="164" fontId="2" fillId="9" borderId="0" xfId="1" applyNumberFormat="1" applyFont="1" applyFill="1" applyAlignment="1">
      <alignment horizontal="center" wrapText="1"/>
    </xf>
    <xf numFmtId="166" fontId="0" fillId="0" borderId="0" xfId="2" applyNumberFormat="1" applyFont="1" applyAlignment="1">
      <alignment horizontal="center"/>
    </xf>
    <xf numFmtId="165" fontId="0" fillId="0" borderId="0" xfId="2" applyNumberFormat="1" applyFont="1" applyAlignment="1">
      <alignment horizontal="center"/>
    </xf>
    <xf numFmtId="166" fontId="2" fillId="0" borderId="0" xfId="2" applyNumberFormat="1" applyFont="1" applyAlignment="1">
      <alignment horizontal="center"/>
    </xf>
    <xf numFmtId="164" fontId="0" fillId="0" borderId="0" xfId="1" applyNumberFormat="1" applyFont="1" applyAlignment="1">
      <alignment horizontal="center"/>
    </xf>
    <xf numFmtId="164" fontId="2" fillId="0" borderId="0" xfId="1" applyNumberFormat="1" applyFont="1" applyAlignment="1">
      <alignment horizontal="center"/>
    </xf>
    <xf numFmtId="0" fontId="2" fillId="0" borderId="0" xfId="0" applyFont="1" applyAlignment="1">
      <alignment vertical="top" wrapText="1"/>
    </xf>
    <xf numFmtId="1" fontId="3" fillId="0" borderId="14" xfId="0" applyNumberFormat="1" applyFont="1" applyBorder="1" applyAlignment="1">
      <alignment horizontal="center"/>
    </xf>
    <xf numFmtId="166" fontId="2" fillId="0" borderId="14" xfId="2" applyNumberFormat="1" applyFont="1" applyBorder="1" applyAlignment="1">
      <alignment horizontal="center" vertical="center"/>
    </xf>
    <xf numFmtId="0" fontId="0" fillId="0" borderId="0" xfId="0" applyBorder="1"/>
    <xf numFmtId="164" fontId="0" fillId="0" borderId="0" xfId="0" applyNumberFormat="1" applyBorder="1" applyAlignment="1">
      <alignment horizontal="center"/>
    </xf>
    <xf numFmtId="164" fontId="2" fillId="4" borderId="0" xfId="0" applyNumberFormat="1" applyFont="1" applyFill="1" applyBorder="1" applyAlignment="1">
      <alignment horizontal="center" vertical="center"/>
    </xf>
    <xf numFmtId="0" fontId="0" fillId="0" borderId="16" xfId="0" applyBorder="1" applyAlignment="1">
      <alignment horizontal="right" vertical="center"/>
    </xf>
    <xf numFmtId="0" fontId="2" fillId="0" borderId="62" xfId="0" applyFont="1" applyBorder="1" applyAlignment="1">
      <alignment horizontal="left"/>
    </xf>
    <xf numFmtId="0" fontId="2" fillId="0" borderId="62" xfId="0" applyFont="1" applyBorder="1" applyAlignment="1">
      <alignment horizontal="center"/>
    </xf>
    <xf numFmtId="0" fontId="0" fillId="0" borderId="62" xfId="0" applyBorder="1" applyAlignment="1">
      <alignment horizontal="center"/>
    </xf>
    <xf numFmtId="0" fontId="2" fillId="0" borderId="62" xfId="0" quotePrefix="1" applyFont="1" applyBorder="1" applyAlignment="1">
      <alignment horizontal="center"/>
    </xf>
    <xf numFmtId="0" fontId="0" fillId="0" borderId="62" xfId="0" quotePrefix="1" applyBorder="1" applyAlignment="1">
      <alignment horizontal="center" wrapText="1"/>
    </xf>
    <xf numFmtId="0" fontId="2" fillId="2" borderId="62" xfId="0" applyFont="1" applyFill="1" applyBorder="1" applyAlignment="1">
      <alignment horizontal="center" wrapText="1"/>
    </xf>
    <xf numFmtId="9" fontId="3" fillId="0" borderId="62" xfId="0" applyNumberFormat="1" applyFont="1" applyBorder="1" applyAlignment="1">
      <alignment horizontal="center"/>
    </xf>
    <xf numFmtId="166" fontId="0" fillId="0" borderId="17" xfId="2" applyNumberFormat="1" applyFont="1" applyBorder="1" applyAlignment="1">
      <alignment horizontal="center"/>
    </xf>
    <xf numFmtId="0" fontId="2" fillId="0" borderId="11" xfId="0" quotePrefix="1" applyFont="1" applyBorder="1" applyAlignment="1">
      <alignment horizontal="center" wrapText="1"/>
    </xf>
    <xf numFmtId="0" fontId="0" fillId="0" borderId="3" xfId="0" applyBorder="1" applyAlignment="1">
      <alignment horizontal="center" wrapText="1"/>
    </xf>
    <xf numFmtId="3" fontId="2" fillId="0" borderId="5" xfId="0" applyNumberFormat="1" applyFont="1" applyBorder="1" applyAlignment="1">
      <alignment horizontal="center" vertical="center"/>
    </xf>
    <xf numFmtId="3" fontId="2" fillId="0" borderId="5" xfId="0" applyNumberFormat="1" applyFont="1" applyFill="1" applyBorder="1" applyAlignment="1">
      <alignment horizontal="center" vertical="center"/>
    </xf>
    <xf numFmtId="0" fontId="0" fillId="0" borderId="11" xfId="0" applyBorder="1" applyAlignment="1">
      <alignment horizontal="right" vertical="center"/>
    </xf>
    <xf numFmtId="0" fontId="2" fillId="0" borderId="62" xfId="0" applyFont="1" applyBorder="1" applyAlignment="1">
      <alignment vertical="top" wrapText="1"/>
    </xf>
    <xf numFmtId="0" fontId="0" fillId="0" borderId="62" xfId="0" applyBorder="1"/>
    <xf numFmtId="0" fontId="2" fillId="0" borderId="62" xfId="0" quotePrefix="1" applyFont="1" applyFill="1" applyBorder="1" applyAlignment="1">
      <alignment horizontal="center"/>
    </xf>
    <xf numFmtId="0" fontId="0" fillId="0" borderId="62" xfId="0" applyBorder="1" applyAlignment="1">
      <alignment horizontal="center" wrapText="1"/>
    </xf>
    <xf numFmtId="164" fontId="2" fillId="2" borderId="62" xfId="1" applyNumberFormat="1" applyFont="1" applyFill="1" applyBorder="1" applyAlignment="1">
      <alignment horizontal="right" wrapText="1"/>
    </xf>
    <xf numFmtId="165" fontId="0" fillId="0" borderId="62" xfId="2" applyNumberFormat="1" applyFont="1" applyBorder="1"/>
    <xf numFmtId="165" fontId="2" fillId="0" borderId="64" xfId="0" applyNumberFormat="1" applyFont="1" applyBorder="1" applyAlignment="1">
      <alignment horizontal="right" vertical="center"/>
    </xf>
    <xf numFmtId="0" fontId="2" fillId="0" borderId="63" xfId="0" applyFont="1" applyBorder="1" applyAlignment="1">
      <alignment horizontal="left" vertical="top"/>
    </xf>
    <xf numFmtId="165" fontId="0" fillId="0" borderId="62" xfId="2" applyNumberFormat="1" applyFont="1" applyBorder="1" applyAlignment="1">
      <alignment horizontal="right"/>
    </xf>
    <xf numFmtId="166" fontId="2" fillId="0" borderId="17" xfId="2" applyNumberFormat="1" applyFont="1" applyBorder="1" applyAlignment="1">
      <alignment horizontal="center"/>
    </xf>
    <xf numFmtId="9" fontId="3" fillId="3" borderId="15" xfId="1" applyFont="1" applyFill="1" applyBorder="1" applyAlignment="1">
      <alignment horizontal="center"/>
    </xf>
    <xf numFmtId="0" fontId="0" fillId="0" borderId="0" xfId="0" applyBorder="1" applyAlignment="1">
      <alignment horizontal="right" vertical="center"/>
    </xf>
    <xf numFmtId="0" fontId="21" fillId="0" borderId="65" xfId="0" applyFont="1" applyBorder="1"/>
    <xf numFmtId="0" fontId="0" fillId="0" borderId="65" xfId="0" applyBorder="1"/>
    <xf numFmtId="0" fontId="2" fillId="0" borderId="65" xfId="0" quotePrefix="1" applyFont="1" applyFill="1" applyBorder="1" applyAlignment="1">
      <alignment horizontal="center"/>
    </xf>
    <xf numFmtId="0" fontId="19" fillId="0" borderId="65" xfId="0" applyFont="1" applyBorder="1" applyAlignment="1">
      <alignment horizontal="center" wrapText="1"/>
    </xf>
    <xf numFmtId="0" fontId="2" fillId="2" borderId="65" xfId="0" applyFont="1" applyFill="1" applyBorder="1" applyAlignment="1">
      <alignment horizontal="center" wrapText="1"/>
    </xf>
    <xf numFmtId="164" fontId="0" fillId="0" borderId="65" xfId="1" applyNumberFormat="1" applyFont="1" applyBorder="1"/>
    <xf numFmtId="9" fontId="0" fillId="3" borderId="17" xfId="1" applyFont="1" applyFill="1" applyBorder="1" applyAlignment="1">
      <alignment horizontal="center"/>
    </xf>
    <xf numFmtId="165" fontId="0" fillId="0" borderId="0" xfId="0" applyNumberFormat="1"/>
    <xf numFmtId="165" fontId="0" fillId="0" borderId="0" xfId="0" applyNumberFormat="1" applyAlignment="1">
      <alignment horizontal="right"/>
    </xf>
    <xf numFmtId="37" fontId="2" fillId="0" borderId="5" xfId="2" applyNumberFormat="1" applyFont="1" applyBorder="1" applyAlignment="1">
      <alignment horizontal="center" vertical="center"/>
    </xf>
    <xf numFmtId="37" fontId="2" fillId="0" borderId="14" xfId="2" applyNumberFormat="1" applyFont="1" applyBorder="1" applyAlignment="1">
      <alignment horizontal="center" vertical="center"/>
    </xf>
    <xf numFmtId="167" fontId="0" fillId="0" borderId="0" xfId="0" applyNumberFormat="1"/>
    <xf numFmtId="0" fontId="0" fillId="0" borderId="45" xfId="0" quotePrefix="1" applyBorder="1" applyAlignment="1">
      <alignment horizontal="left" wrapText="1"/>
    </xf>
    <xf numFmtId="0" fontId="0" fillId="0" borderId="10" xfId="0" quotePrefix="1" applyBorder="1" applyAlignment="1">
      <alignment horizontal="left" wrapText="1"/>
    </xf>
    <xf numFmtId="0" fontId="0" fillId="0" borderId="22" xfId="0" quotePrefix="1" applyBorder="1" applyAlignment="1">
      <alignment horizontal="left" wrapText="1"/>
    </xf>
    <xf numFmtId="0" fontId="5" fillId="0" borderId="0" xfId="0" applyFont="1" applyAlignment="1">
      <alignment horizontal="left" vertical="top" wrapText="1"/>
    </xf>
    <xf numFmtId="0" fontId="5" fillId="0" borderId="2" xfId="0" applyFont="1" applyBorder="1" applyAlignment="1">
      <alignment horizontal="left" vertical="top" wrapText="1"/>
    </xf>
    <xf numFmtId="0" fontId="5" fillId="0" borderId="36" xfId="0" applyFont="1" applyBorder="1" applyAlignment="1">
      <alignment horizontal="left" vertical="top" wrapText="1"/>
    </xf>
    <xf numFmtId="0" fontId="5" fillId="0" borderId="37" xfId="0" applyFont="1" applyBorder="1" applyAlignment="1">
      <alignment horizontal="left" vertical="top" wrapText="1"/>
    </xf>
    <xf numFmtId="0" fontId="5" fillId="0" borderId="1" xfId="0" applyFont="1" applyBorder="1" applyAlignment="1">
      <alignment horizontal="center" vertical="top" wrapText="1"/>
    </xf>
    <xf numFmtId="0" fontId="5" fillId="0" borderId="38" xfId="0" applyFont="1" applyBorder="1" applyAlignment="1">
      <alignment horizontal="center" vertical="top" wrapText="1"/>
    </xf>
    <xf numFmtId="0" fontId="2" fillId="2" borderId="6" xfId="0" applyFont="1" applyFill="1" applyBorder="1" applyAlignment="1">
      <alignment horizontal="center" wrapText="1"/>
    </xf>
    <xf numFmtId="0" fontId="2" fillId="2" borderId="61" xfId="0" applyFont="1" applyFill="1" applyBorder="1" applyAlignment="1">
      <alignment horizontal="center" wrapText="1"/>
    </xf>
    <xf numFmtId="0" fontId="2" fillId="0" borderId="9" xfId="0" quotePrefix="1" applyFont="1" applyBorder="1" applyAlignment="1">
      <alignment horizontal="center"/>
    </xf>
    <xf numFmtId="0" fontId="2" fillId="0" borderId="61" xfId="0" quotePrefix="1" applyFont="1" applyBorder="1" applyAlignment="1">
      <alignment horizontal="center"/>
    </xf>
    <xf numFmtId="0" fontId="2" fillId="2" borderId="32" xfId="0" applyFont="1" applyFill="1" applyBorder="1" applyAlignment="1">
      <alignment horizontal="center" wrapText="1"/>
    </xf>
    <xf numFmtId="0" fontId="2" fillId="2" borderId="20" xfId="0" applyFont="1" applyFill="1" applyBorder="1" applyAlignment="1">
      <alignment horizontal="center" wrapText="1"/>
    </xf>
    <xf numFmtId="0" fontId="0" fillId="0" borderId="45" xfId="0" quotePrefix="1" applyBorder="1" applyAlignment="1">
      <alignment horizontal="center"/>
    </xf>
    <xf numFmtId="0" fontId="0" fillId="0" borderId="22" xfId="0" quotePrefix="1" applyBorder="1" applyAlignment="1">
      <alignment horizontal="center"/>
    </xf>
    <xf numFmtId="0" fontId="2" fillId="0" borderId="23" xfId="0" quotePrefix="1" applyFont="1" applyBorder="1" applyAlignment="1">
      <alignment horizontal="center"/>
    </xf>
    <xf numFmtId="0" fontId="2" fillId="0" borderId="21" xfId="0" quotePrefix="1" applyFont="1" applyBorder="1" applyAlignment="1">
      <alignment horizontal="center"/>
    </xf>
    <xf numFmtId="0" fontId="2" fillId="2" borderId="15" xfId="0" applyFont="1" applyFill="1" applyBorder="1" applyAlignment="1">
      <alignment horizontal="center" wrapText="1"/>
    </xf>
    <xf numFmtId="0" fontId="2" fillId="0" borderId="7" xfId="0" quotePrefix="1" applyFont="1" applyBorder="1" applyAlignment="1">
      <alignment horizontal="center"/>
    </xf>
  </cellXfs>
  <cellStyles count="4">
    <cellStyle name="Comma" xfId="2" builtinId="3"/>
    <cellStyle name="Normal" xfId="0" builtinId="0"/>
    <cellStyle name="Percent" xfId="1" builtinId="5"/>
    <cellStyle name="Percent 3" xfId="3"/>
  </cellStyles>
  <dxfs count="0"/>
  <tableStyles count="0" defaultTableStyle="TableStyleMedium2" defaultPivotStyle="PivotStyleLight16"/>
  <colors>
    <mruColors>
      <color rgb="FF0000FF"/>
      <color rgb="FF000099"/>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104775</xdr:rowOff>
    </xdr:from>
    <xdr:to>
      <xdr:col>8</xdr:col>
      <xdr:colOff>561975</xdr:colOff>
      <xdr:row>26</xdr:row>
      <xdr:rowOff>142875</xdr:rowOff>
    </xdr:to>
    <xdr:sp macro="" textlink="">
      <xdr:nvSpPr>
        <xdr:cNvPr id="2" name="TextBox 1">
          <a:extLst>
            <a:ext uri="{FF2B5EF4-FFF2-40B4-BE49-F238E27FC236}">
              <a16:creationId xmlns:a16="http://schemas.microsoft.com/office/drawing/2014/main" xmlns="" id="{D2100107-BBEF-4DDB-8368-6B7FCBECD207}"/>
            </a:ext>
          </a:extLst>
        </xdr:cNvPr>
        <xdr:cNvSpPr txBox="1"/>
      </xdr:nvSpPr>
      <xdr:spPr>
        <a:xfrm>
          <a:off x="76200" y="104775"/>
          <a:ext cx="5362575" cy="499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sz="2400" b="1">
              <a:solidFill>
                <a:schemeClr val="dk1"/>
              </a:solidFill>
              <a:effectLst/>
              <a:latin typeface="+mn-lt"/>
              <a:ea typeface="+mn-ea"/>
              <a:cs typeface="+mn-cs"/>
            </a:rPr>
            <a:t>DISCLAIMER</a:t>
          </a:r>
        </a:p>
        <a:p>
          <a:pPr marL="0" marR="0" lvl="0" indent="0" defTabSz="914400" rtl="0" eaLnBrk="1" fontAlgn="auto" latinLnBrk="0" hangingPunct="1">
            <a:lnSpc>
              <a:spcPct val="100000"/>
            </a:lnSpc>
            <a:spcBef>
              <a:spcPts val="0"/>
            </a:spcBef>
            <a:spcAft>
              <a:spcPts val="0"/>
            </a:spcAft>
            <a:buClrTx/>
            <a:buSzTx/>
            <a:buFontTx/>
            <a:buNone/>
            <a:tabLst/>
            <a:defRPr/>
          </a:pPr>
          <a:endParaRPr lang="en-US" sz="24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2400">
              <a:solidFill>
                <a:schemeClr val="dk1"/>
              </a:solidFill>
              <a:effectLst/>
              <a:latin typeface="+mn-lt"/>
              <a:ea typeface="+mn-ea"/>
              <a:cs typeface="+mn-cs"/>
            </a:rPr>
            <a:t>The examples presented are for illustrative purposes to demonstrate acceptable mortality aggregation</a:t>
          </a:r>
          <a:r>
            <a:rPr lang="en-US" sz="2400" baseline="0">
              <a:solidFill>
                <a:schemeClr val="dk1"/>
              </a:solidFill>
              <a:effectLst/>
              <a:latin typeface="+mn-lt"/>
              <a:ea typeface="+mn-ea"/>
              <a:cs typeface="+mn-cs"/>
            </a:rPr>
            <a:t> </a:t>
          </a:r>
          <a:r>
            <a:rPr lang="en-US" sz="2400">
              <a:solidFill>
                <a:schemeClr val="dk1"/>
              </a:solidFill>
              <a:effectLst/>
              <a:latin typeface="+mn-lt"/>
              <a:ea typeface="+mn-ea"/>
              <a:cs typeface="+mn-cs"/>
            </a:rPr>
            <a:t>approaches under VM-20.  They are not intended to cover all complexities that may arise in practice.  Additional variations and other methods may be appropriate.  These examples are intended to illustrate general principles, not to be an exhaustive presentation of acceptable methods.</a:t>
          </a:r>
          <a:endParaRPr lang="en-US" sz="2400">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552450</xdr:colOff>
      <xdr:row>34</xdr:row>
      <xdr:rowOff>85724</xdr:rowOff>
    </xdr:from>
    <xdr:to>
      <xdr:col>21</xdr:col>
      <xdr:colOff>390525</xdr:colOff>
      <xdr:row>59</xdr:row>
      <xdr:rowOff>95249</xdr:rowOff>
    </xdr:to>
    <xdr:sp macro="" textlink="">
      <xdr:nvSpPr>
        <xdr:cNvPr id="4" name="&quot;No&quot; Symbol 3">
          <a:extLst>
            <a:ext uri="{FF2B5EF4-FFF2-40B4-BE49-F238E27FC236}">
              <a16:creationId xmlns:a16="http://schemas.microsoft.com/office/drawing/2014/main" xmlns="" id="{00000000-0008-0000-0300-000003000000}"/>
            </a:ext>
          </a:extLst>
        </xdr:cNvPr>
        <xdr:cNvSpPr/>
      </xdr:nvSpPr>
      <xdr:spPr>
        <a:xfrm>
          <a:off x="17897475" y="6610349"/>
          <a:ext cx="4448175" cy="6296025"/>
        </a:xfrm>
        <a:prstGeom prst="noSmoking">
          <a:avLst>
            <a:gd name="adj" fmla="val 1366"/>
          </a:avLst>
        </a:prstGeom>
        <a:solidFill>
          <a:srgbClr val="FF0000"/>
        </a:solidFill>
        <a:ln>
          <a:solidFill>
            <a:srgbClr val="C00000"/>
          </a:solidFill>
        </a:ln>
        <a:effectLst>
          <a:innerShdw blurRad="63500" dist="50800" dir="189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solidFill>
                <a:srgbClr val="FF0000"/>
              </a:solidFill>
            </a:ln>
            <a:solidFill>
              <a:srgbClr val="FF0000"/>
            </a:solidFill>
          </a:endParaRPr>
        </a:p>
      </xdr:txBody>
    </xdr:sp>
    <xdr:clientData/>
  </xdr:twoCellAnchor>
  <xdr:twoCellAnchor>
    <xdr:from>
      <xdr:col>0</xdr:col>
      <xdr:colOff>114301</xdr:colOff>
      <xdr:row>1</xdr:row>
      <xdr:rowOff>47623</xdr:rowOff>
    </xdr:from>
    <xdr:to>
      <xdr:col>14</xdr:col>
      <xdr:colOff>866775</xdr:colOff>
      <xdr:row>28</xdr:row>
      <xdr:rowOff>47625</xdr:rowOff>
    </xdr:to>
    <xdr:sp macro="" textlink="">
      <xdr:nvSpPr>
        <xdr:cNvPr id="5" name="TextBox 4">
          <a:extLst>
            <a:ext uri="{FF2B5EF4-FFF2-40B4-BE49-F238E27FC236}">
              <a16:creationId xmlns:a16="http://schemas.microsoft.com/office/drawing/2014/main" xmlns="" id="{00000000-0008-0000-0400-000004000000}"/>
            </a:ext>
          </a:extLst>
        </xdr:cNvPr>
        <xdr:cNvSpPr txBox="1"/>
      </xdr:nvSpPr>
      <xdr:spPr>
        <a:xfrm>
          <a:off x="114301" y="285748"/>
          <a:ext cx="15325724" cy="514350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solidFill>
                <a:schemeClr val="dk1"/>
              </a:solidFill>
              <a:effectLst/>
              <a:latin typeface="+mn-lt"/>
              <a:ea typeface="+mn-ea"/>
              <a:cs typeface="+mn-cs"/>
            </a:rPr>
            <a:t>This is an example that appears to use Two-Step Sequential Method in Example 8, by applying Example 5’s bottom-up method and Example 3’s top-down method including external relativities to the subgroups. However, Step 2 does not in fact use Step 1’s adjusted experience. Instead Step 2’s  formulas look through Step 1’s output and use the segment’s original unadjusted subroup experience. Thus Example 9 does not in fact use the aggregate mortality data to inform the individual mortality segment rates and so the company would not be permitted to use the aggregated class when calculating credibilities or sufficient data periods. There is no real linkage between Step 1 and Step 2. </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In this example, a company has 24 mortality segments (shown in Rows 37-60 Columns 1 and 2) which vary by sex, risk class, and face band.  Substandard business is not included in the analysis.  Since the segments were subject to similar underwriting, the company intends to aggregate all mortality experience and will use the aggregate credibility (100% as shown in blue) to determine the prescribed margins.  The company applies the weighting method and relativistic method in sequence (sometimes called "two-step"). </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The company intends to set its anticipated experience assumption as scalar multiples of the 2015 VBT RR Tables which were selected as the industry tables for the segments based on their RR Tool results.  In Rows 37-60, Columns 3-6 show the tables indicated by the RR Tool, along with the expected claim amounts, actual claim amounts, and resulting A/E ratios.  </a:t>
          </a:r>
          <a:r>
            <a:rPr lang="en-US" sz="1200" b="1" u="sng">
              <a:solidFill>
                <a:schemeClr val="dk1"/>
              </a:solidFill>
              <a:effectLst/>
              <a:latin typeface="+mn-lt"/>
              <a:ea typeface="+mn-ea"/>
              <a:cs typeface="+mn-cs"/>
            </a:rPr>
            <a:t>A credibility weighting approach is used to adjust the experience of subgroups formed by grouping mortality segments to reflect the aggregate company experience. In the second step, </a:t>
          </a:r>
          <a:r>
            <a:rPr lang="en-US" sz="1200" b="1" u="sng">
              <a:solidFill>
                <a:srgbClr val="FF0000"/>
              </a:solidFill>
              <a:effectLst/>
              <a:latin typeface="+mn-lt"/>
              <a:ea typeface="+mn-ea"/>
              <a:cs typeface="+mn-cs"/>
            </a:rPr>
            <a:t>the relativity ratios are applied to the subgroups' original experience. Therefore, Step 2 does not use Step 1’s adjusted experience</a:t>
          </a:r>
          <a:r>
            <a:rPr lang="en-US" sz="1200" b="1">
              <a:solidFill>
                <a:srgbClr val="FF0000"/>
              </a:solidFill>
              <a:effectLst/>
              <a:latin typeface="+mn-lt"/>
              <a:ea typeface="+mn-ea"/>
              <a:cs typeface="+mn-cs"/>
            </a:rPr>
            <a:t>.</a:t>
          </a:r>
        </a:p>
        <a:p>
          <a:endParaRPr lang="en-US" sz="1200">
            <a:solidFill>
              <a:srgbClr val="FF0000"/>
            </a:solidFill>
            <a:effectLst/>
            <a:latin typeface="+mn-lt"/>
            <a:ea typeface="+mn-ea"/>
            <a:cs typeface="+mn-cs"/>
          </a:endParaRPr>
        </a:p>
        <a:p>
          <a:r>
            <a:rPr lang="en-US" sz="1200">
              <a:solidFill>
                <a:schemeClr val="dk1"/>
              </a:solidFill>
              <a:effectLst/>
              <a:latin typeface="+mn-lt"/>
              <a:ea typeface="+mn-ea"/>
              <a:cs typeface="+mn-cs"/>
            </a:rPr>
            <a:t>Step 0: In Rows 37-60, Columns 1-6 identify the segments and the segment's basis for E, E, A, and A/E. For illustrative purposes, values are derived from Example 5. Column 7 specifies the subgroup to which segments are aggregated as subsets of the aggregate class.</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Step 1: Rows 71-83 aggregate segments that differ by face band to form subgroups that vary by just sex and risk class. In Columns 1-15 in Rows 71-83, the credibility-weighted A/E ratios are calculated for all subgroups using the subgroup's A/E ratio, the subgroups credibility, the aggregate class A/E, and then normalized. Observe that Columns 1-14's formulas and values are identical to Example 5 except the rows are subgroups rather than mortality segments. </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Step 2: In Rows 37-60, Columns 8 is the subgroup's adjusted credibility-weighted experience from Step 1. Column 9 shows the selected base segment and Column 10 shows the segments’ external relativities based on the expected relationship between the segment and its subgroup’s base segment. Column 11 is the relativity based A/E. Column 12 is a derived theoretical, imputed "actual" A’ that would result for the segment if the expected relativity structure from Column 10 held </a:t>
          </a:r>
          <a:r>
            <a:rPr lang="en-US" sz="1200" b="1" u="sng">
              <a:solidFill>
                <a:srgbClr val="FF0000"/>
              </a:solidFill>
              <a:effectLst/>
              <a:latin typeface="+mn-lt"/>
              <a:ea typeface="+mn-ea"/>
              <a:cs typeface="+mn-cs"/>
            </a:rPr>
            <a:t>applied to the original experience in Column 4</a:t>
          </a:r>
          <a:r>
            <a:rPr lang="en-US" sz="1200">
              <a:solidFill>
                <a:srgbClr val="FF0000"/>
              </a:solidFill>
              <a:effectLst/>
              <a:latin typeface="+mn-lt"/>
              <a:ea typeface="+mn-ea"/>
              <a:cs typeface="+mn-cs"/>
            </a:rPr>
            <a:t>.</a:t>
          </a:r>
          <a:r>
            <a:rPr lang="en-US" sz="1200">
              <a:solidFill>
                <a:schemeClr val="dk1"/>
              </a:solidFill>
              <a:effectLst/>
              <a:latin typeface="+mn-lt"/>
              <a:ea typeface="+mn-ea"/>
              <a:cs typeface="+mn-cs"/>
            </a:rPr>
            <a:t> Column 13 calculates the subgroup’s normalization ratio comparing the subgroup’s </a:t>
          </a:r>
          <a:r>
            <a:rPr lang="en-US" sz="1200" b="1" u="sng">
              <a:solidFill>
                <a:srgbClr val="FF0000"/>
              </a:solidFill>
              <a:effectLst/>
              <a:latin typeface="+mn-lt"/>
              <a:ea typeface="+mn-ea"/>
              <a:cs typeface="+mn-cs"/>
            </a:rPr>
            <a:t>original experience in Column 5</a:t>
          </a:r>
          <a:r>
            <a:rPr lang="en-US" sz="1200">
              <a:solidFill>
                <a:srgbClr val="FF0000"/>
              </a:solidFill>
              <a:effectLst/>
              <a:latin typeface="+mn-lt"/>
              <a:ea typeface="+mn-ea"/>
              <a:cs typeface="+mn-cs"/>
            </a:rPr>
            <a:t> </a:t>
          </a:r>
          <a:r>
            <a:rPr lang="en-US" sz="1200">
              <a:solidFill>
                <a:schemeClr val="dk1"/>
              </a:solidFill>
              <a:effectLst/>
              <a:latin typeface="+mn-lt"/>
              <a:ea typeface="+mn-ea"/>
              <a:cs typeface="+mn-cs"/>
            </a:rPr>
            <a:t>to the subgroup’s relativity-based total in Column 12. </a:t>
          </a:r>
          <a:r>
            <a:rPr lang="en-US" sz="1200">
              <a:solidFill>
                <a:schemeClr val="accent6">
                  <a:lumMod val="75000"/>
                </a:schemeClr>
              </a:solidFill>
              <a:effectLst/>
              <a:latin typeface="+mn-lt"/>
              <a:ea typeface="+mn-ea"/>
              <a:cs typeface="+mn-cs"/>
            </a:rPr>
            <a:t>Column</a:t>
          </a:r>
          <a:r>
            <a:rPr lang="en-US" sz="1200" baseline="0">
              <a:solidFill>
                <a:schemeClr val="accent6">
                  <a:lumMod val="75000"/>
                </a:schemeClr>
              </a:solidFill>
              <a:effectLst/>
              <a:latin typeface="+mn-lt"/>
              <a:ea typeface="+mn-ea"/>
              <a:cs typeface="+mn-cs"/>
            </a:rPr>
            <a:t> 13's ratio does not conserve each subgroups' normalized deaths determined in Step 1. </a:t>
          </a:r>
          <a:r>
            <a:rPr lang="en-US" sz="1200">
              <a:solidFill>
                <a:schemeClr val="dk1"/>
              </a:solidFill>
              <a:effectLst/>
              <a:latin typeface="+mn-lt"/>
              <a:ea typeface="+mn-ea"/>
              <a:cs typeface="+mn-cs"/>
            </a:rPr>
            <a:t>Column 14 applies the normalization ratio to obtain the normalized Relativity-Based  A’s. Columns 15-16 calculates the normalized Relativity-Based  A’s and E's. Columns 15-16 demonstrate that conservation of deaths is maintained and that the relativities remain unchanged after the A'/E ratios are normalized. However, observe Column 16 is identical to Column 4.</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Despite having gone through many steps to arrive at these assumptions and even checking conservation of deaths, </a:t>
          </a:r>
          <a:r>
            <a:rPr lang="en-US" sz="1200" b="1">
              <a:solidFill>
                <a:schemeClr val="dk1"/>
              </a:solidFill>
              <a:effectLst/>
              <a:latin typeface="+mn-lt"/>
              <a:ea typeface="+mn-ea"/>
              <a:cs typeface="+mn-cs"/>
            </a:rPr>
            <a:t>we see that we have just gone through a circuitous route to arrive at the subgroup’s original E's. We have applied the top-down method twelve times with each sub-group being the top. The individual mortality segments have not been informed by and made more credible based on the aggregate experience but have been informed by the segment’s subgroup experience.</a:t>
          </a:r>
          <a:r>
            <a:rPr lang="en-US" sz="1200">
              <a:solidFill>
                <a:schemeClr val="dk1"/>
              </a:solidFill>
              <a:effectLst/>
              <a:latin typeface="+mn-lt"/>
              <a:ea typeface="+mn-ea"/>
              <a:cs typeface="+mn-cs"/>
            </a:rPr>
            <a:t> Each subgroup’s credibility from Step 1 Column 7 must be used not the aggregate class credibility.</a:t>
          </a:r>
          <a:endParaRPr lang="en-US" sz="1200"/>
        </a:p>
      </xdr:txBody>
    </xdr:sp>
    <xdr:clientData/>
  </xdr:twoCellAnchor>
  <xdr:twoCellAnchor>
    <xdr:from>
      <xdr:col>6</xdr:col>
      <xdr:colOff>19050</xdr:colOff>
      <xdr:row>82</xdr:row>
      <xdr:rowOff>66675</xdr:rowOff>
    </xdr:from>
    <xdr:to>
      <xdr:col>6</xdr:col>
      <xdr:colOff>504825</xdr:colOff>
      <xdr:row>84</xdr:row>
      <xdr:rowOff>171450</xdr:rowOff>
    </xdr:to>
    <xdr:sp macro="" textlink="">
      <xdr:nvSpPr>
        <xdr:cNvPr id="6" name="&quot;No&quot; Symbol 5">
          <a:extLst>
            <a:ext uri="{FF2B5EF4-FFF2-40B4-BE49-F238E27FC236}">
              <a16:creationId xmlns:a16="http://schemas.microsoft.com/office/drawing/2014/main" xmlns="" id="{00000000-0008-0000-0300-000003000000}"/>
            </a:ext>
          </a:extLst>
        </xdr:cNvPr>
        <xdr:cNvSpPr>
          <a:spLocks noChangeAspect="1"/>
        </xdr:cNvSpPr>
      </xdr:nvSpPr>
      <xdr:spPr>
        <a:xfrm>
          <a:off x="7677150" y="18440400"/>
          <a:ext cx="485775" cy="485775"/>
        </a:xfrm>
        <a:prstGeom prst="noSmoking">
          <a:avLst>
            <a:gd name="adj" fmla="val 1366"/>
          </a:avLst>
        </a:prstGeom>
        <a:solidFill>
          <a:srgbClr val="FF0000"/>
        </a:solidFill>
        <a:ln>
          <a:solidFill>
            <a:srgbClr val="C00000"/>
          </a:solidFill>
        </a:ln>
        <a:effectLst>
          <a:innerShdw blurRad="63500" dist="50800" dir="189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solidFill>
                <a:srgbClr val="FF0000"/>
              </a:solidFill>
            </a:ln>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xdr:rowOff>
    </xdr:from>
    <xdr:to>
      <xdr:col>10</xdr:col>
      <xdr:colOff>1628775</xdr:colOff>
      <xdr:row>22</xdr:row>
      <xdr:rowOff>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0" y="429634"/>
          <a:ext cx="9170334" cy="45569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t>In this example, a company has 12 mortality segments (shown in Columns 1 and 2).  Substandard business is not included in the analysis.  Since the mortality segments were subject to</a:t>
          </a:r>
          <a:r>
            <a:rPr lang="en-US" sz="1300" baseline="0"/>
            <a:t> similar underwriting, the company intends to aggregate all mortality experience and will use the aggregate credibility (100% as shown in blue) to determine the prescribed margins.  Note that when using a relativistic method (sometimes called "top down"), it is not necessary to calculate the credibility of each individual mortality segment.</a:t>
          </a:r>
        </a:p>
        <a:p>
          <a:endParaRPr lang="en-US" sz="1300" baseline="0"/>
        </a:p>
        <a:p>
          <a:r>
            <a:rPr lang="en-US" sz="1300" baseline="0"/>
            <a:t>The company intends to set its anticipated experience assumption as scalar multiples of the 2015 VBT RR Tables which were selected as the industry tables for the segments based on their RR Tool results.  Columns 3-6 show the tables indicated by the RR Tool, along with the expected claim amounts, actual claim amounts, and resulting A/E ratios.  </a:t>
          </a:r>
          <a:r>
            <a:rPr lang="en-US" sz="1300" b="1" u="sng" baseline="0">
              <a:solidFill>
                <a:schemeClr val="dk1"/>
              </a:solidFill>
              <a:effectLst/>
              <a:latin typeface="+mn-lt"/>
              <a:ea typeface="+mn-ea"/>
              <a:cs typeface="+mn-cs"/>
            </a:rPr>
            <a:t>The aggregate mortality experience is subdivided into mortality segments based on the expected relationships between the mortality experience for one segment vs. another (referred to as relativities).</a:t>
          </a:r>
          <a:r>
            <a:rPr lang="en-US" sz="1300" b="0" u="none" baseline="0">
              <a:solidFill>
                <a:schemeClr val="dk1"/>
              </a:solidFill>
              <a:effectLst/>
              <a:latin typeface="+mn-lt"/>
              <a:ea typeface="+mn-ea"/>
              <a:cs typeface="+mn-cs"/>
            </a:rPr>
            <a:t> </a:t>
          </a:r>
          <a:r>
            <a:rPr lang="en-US" sz="1300" b="0" u="none" baseline="0"/>
            <a:t> In this case, the RR tables as determined by the RR Tool give the structure of relativities between segments.  </a:t>
          </a:r>
        </a:p>
        <a:p>
          <a:endParaRPr lang="en-US" sz="1300" b="0" u="none" baseline="0"/>
        </a:p>
        <a:p>
          <a:r>
            <a:rPr lang="en-US" sz="1300" b="0" u="none" baseline="0"/>
            <a:t>Column 7 shows the aggregation level and Column 8 shows the A/E for the aggregate class.</a:t>
          </a:r>
        </a:p>
        <a:p>
          <a:endParaRPr lang="en-US" sz="1300" baseline="0"/>
        </a:p>
        <a:p>
          <a:r>
            <a:rPr lang="en-US" sz="1300" baseline="0"/>
            <a:t>Column 9 shows the final anticipated experience assumption, which is equal to the aggregate A/E ratio in Column 8 multiplied by the applicable RR tables in Column 3.</a:t>
          </a:r>
        </a:p>
        <a:p>
          <a:endParaRPr lang="en-US" sz="1300" baseline="0"/>
        </a:p>
        <a:p>
          <a:r>
            <a:rPr lang="en-US" sz="1300" baseline="0"/>
            <a:t>If a normalization step were performed, the normalization ratio would be 1.0, because the aggregate A/E is applied to each mortality segment and so the total expected claims must sum to the total actual claims.</a:t>
          </a:r>
        </a:p>
        <a:p>
          <a:endParaRPr lang="en-US" sz="1300" baseline="0"/>
        </a:p>
        <a:p>
          <a:r>
            <a:rPr lang="en-US" sz="1300" baseline="0"/>
            <a:t>Note that the company could have also done additional segmentation within the aggregate class, such as setting durational multipliers, as long as these more granular multipliers were determined using the full aggregate data set and conservation of deaths was still satisfied.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3810</xdr:rowOff>
    </xdr:from>
    <xdr:to>
      <xdr:col>10</xdr:col>
      <xdr:colOff>1628775</xdr:colOff>
      <xdr:row>25</xdr:row>
      <xdr:rowOff>219075</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0" y="432435"/>
          <a:ext cx="11144250" cy="59112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t>In this example, a company has 12 mortality segments (shown in columns 1 and 2).  Substandard business is not included in the analysis.  The mortality segments were subject to</a:t>
          </a:r>
          <a:r>
            <a:rPr lang="en-US" sz="1300" baseline="0"/>
            <a:t> similar underwriting.  In this case, the company notes that smoker mortality has experienced higher A/E's than non-smoker.  The company intends to aggregate all smoker and all non-smoker mortality experience and will use the aggregate credibility for each of these two aggregation classes (100% for non-smoker and 85% for smoker as shown in blue) to determine the prescribed margins.  Note that when using a relativistic method (sometimes called "top down"), it is not necessary to calculate the credibility of each individual mortality segment.</a:t>
          </a:r>
        </a:p>
        <a:p>
          <a:endParaRPr lang="en-US" sz="1300" baseline="0"/>
        </a:p>
        <a:p>
          <a:r>
            <a:rPr lang="en-US" sz="1300" baseline="0"/>
            <a:t>The company intends to set its anticipated experience assumption as scalar multiples of the 2015 VBT RR Tables which were selected as the industry tables for the segments based on their RR Tool results.  Columns 3-6 show the tables indicated by the RR Tool, along with the expected claim amounts, actual claim amounts, and resulting A/E ratios.  </a:t>
          </a:r>
          <a:r>
            <a:rPr lang="en-US" sz="1300" b="1" u="sng" baseline="0">
              <a:solidFill>
                <a:schemeClr val="dk1"/>
              </a:solidFill>
              <a:effectLst/>
              <a:latin typeface="+mn-lt"/>
              <a:ea typeface="+mn-ea"/>
              <a:cs typeface="+mn-cs"/>
            </a:rPr>
            <a:t>The aggregate mortality experience is subdivided into mortality segments based on the expected relationships between the mortality experience for one segment vs. another (referred to as relativities).</a:t>
          </a:r>
          <a:r>
            <a:rPr lang="en-US" sz="1300" b="0" u="none" baseline="0">
              <a:solidFill>
                <a:schemeClr val="dk1"/>
              </a:solidFill>
              <a:effectLst/>
              <a:latin typeface="+mn-lt"/>
              <a:ea typeface="+mn-ea"/>
              <a:cs typeface="+mn-cs"/>
            </a:rPr>
            <a:t> </a:t>
          </a:r>
          <a:r>
            <a:rPr lang="en-US" sz="1300" b="0" u="none" baseline="0"/>
            <a:t> In this case, the RR tables as determined by the RR Tool give the structure of relativities between segments.  </a:t>
          </a:r>
        </a:p>
        <a:p>
          <a:endParaRPr lang="en-US" sz="1300" b="0" u="none" baseline="0"/>
        </a:p>
        <a:p>
          <a:r>
            <a:rPr lang="en-US" sz="1300" b="0" u="none" baseline="0"/>
            <a:t>Column 7 shows the aggregation level and Column 8 shows the A/E for the aggregate class.</a:t>
          </a:r>
        </a:p>
        <a:p>
          <a:endParaRPr lang="en-US" sz="1300" baseline="0"/>
        </a:p>
        <a:p>
          <a:r>
            <a:rPr lang="en-US" sz="1300" baseline="0"/>
            <a:t>Column 9 shows the final anticipated experience assumption, which is equal to the aggregate A/E ratio in Column 8 multiplied by the applicable RR tables in Column 3.</a:t>
          </a:r>
        </a:p>
        <a:p>
          <a:endParaRPr lang="en-US" sz="1300" baseline="0"/>
        </a:p>
        <a:p>
          <a:r>
            <a:rPr lang="en-US" sz="1300" baseline="0"/>
            <a:t>If a normalization step were performed, the normalization ratio would be 1.0, because the aggregate A/E for each aggregation class is applied to each mortality segment that is in that aggregation class and so the total expected claims must sum to the total actual claims.</a:t>
          </a:r>
        </a:p>
        <a:p>
          <a:endParaRPr lang="en-US" sz="1300" baseline="0"/>
        </a:p>
        <a:p>
          <a:r>
            <a:rPr lang="en-US" sz="1300" baseline="0"/>
            <a:t>In order to not grade to better industry tables than the anticipated experience for smoker, the company selects 102.6% of the smoker RR tables for both the company and industry mortality tables.</a:t>
          </a:r>
        </a:p>
        <a:p>
          <a:endParaRPr lang="en-US" sz="1300" baseline="0"/>
        </a:p>
        <a:p>
          <a:r>
            <a:rPr lang="en-US" sz="1300"/>
            <a:t>Note that the company could have also done additional segmentation within each of the aggregate classes, such as setting durational multipliers, as long as these more granular multipliers used within each aggregate class were determined using the full aggregate class data set and conservation of deaths was still satisfied.</a:t>
          </a:r>
        </a:p>
        <a:p>
          <a:endParaRPr lang="en-US" sz="13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173144</xdr:rowOff>
    </xdr:from>
    <xdr:to>
      <xdr:col>21</xdr:col>
      <xdr:colOff>1628775</xdr:colOff>
      <xdr:row>29</xdr:row>
      <xdr:rowOff>197909</xdr:rowOff>
    </xdr:to>
    <xdr:sp macro="" textlink="">
      <xdr:nvSpPr>
        <xdr:cNvPr id="2" name="TextBox 1">
          <a:extLst>
            <a:ext uri="{FF2B5EF4-FFF2-40B4-BE49-F238E27FC236}">
              <a16:creationId xmlns:a16="http://schemas.microsoft.com/office/drawing/2014/main" xmlns="" id="{DA35580B-5154-4352-B6E0-3D8019C8444B}"/>
            </a:ext>
          </a:extLst>
        </xdr:cNvPr>
        <xdr:cNvSpPr txBox="1"/>
      </xdr:nvSpPr>
      <xdr:spPr>
        <a:xfrm>
          <a:off x="0" y="416561"/>
          <a:ext cx="17482608" cy="67875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t>In this example, a company has 12 mortality segments (shown in columns 1 and 2).  Substandard business is not included in the analysis.  The mortality segments were subject to</a:t>
          </a:r>
          <a:r>
            <a:rPr lang="en-US" sz="1300" baseline="0"/>
            <a:t> similar underwriting.  However, the company notes that they have fully credible experience in each of the M/F S/NS pairings, and so the company chooses to aggregate mortality experience to the level of MNS, MSM, FNS, and FSM and will use the aggregate credibility for each of these four aggregation classes (100% in each case as shown in blue) to determine the prescribed margins.  Note that when using a relativistic method (sometimes called "top down"), it is not necessary to calculate the credibility of each individual mortality segment.</a:t>
          </a:r>
        </a:p>
        <a:p>
          <a:endParaRPr lang="en-US" sz="1300" baseline="0"/>
        </a:p>
        <a:p>
          <a:r>
            <a:rPr lang="en-US" sz="1300" baseline="0"/>
            <a:t>The company intends to set its anticipated experience assumption as scalar multiples of the 2015 VBT RR Tables which were selected as the industry tables for the segments based on their RR Tool results.  Columns 3-6 show the tables indicated by the RR Tool, along with the expected claim amounts, actual claim amounts, and resulting A/E ratios.  </a:t>
          </a:r>
          <a:r>
            <a:rPr lang="en-US" sz="1300" b="1" u="sng" baseline="0">
              <a:solidFill>
                <a:schemeClr val="dk1"/>
              </a:solidFill>
              <a:effectLst/>
              <a:latin typeface="+mn-lt"/>
              <a:ea typeface="+mn-ea"/>
              <a:cs typeface="+mn-cs"/>
            </a:rPr>
            <a:t>The aggregate mortality experience is subdivided into mortality segments based on the expected relationships between the mortality experience for one segment vs. another (referred to as relativities).</a:t>
          </a:r>
          <a:r>
            <a:rPr lang="en-US" sz="1300" b="0" u="none" baseline="0">
              <a:solidFill>
                <a:schemeClr val="dk1"/>
              </a:solidFill>
              <a:effectLst/>
              <a:latin typeface="+mn-lt"/>
              <a:ea typeface="+mn-ea"/>
              <a:cs typeface="+mn-cs"/>
            </a:rPr>
            <a:t> </a:t>
          </a:r>
          <a:r>
            <a:rPr lang="en-US" sz="1300" b="0" u="none" baseline="0"/>
            <a:t> These relativities will be applied to a base segment (given a level of aggregation, the choice of the base segment is arbitrary - all choices will give the same final result).  In this example, there are four base segments, identified in Column 8.  The A/Es for these segments are shown in green in Columns 6 and 9.  </a:t>
          </a:r>
        </a:p>
        <a:p>
          <a:endParaRPr lang="en-US" sz="1300" b="0" u="none" baseline="0"/>
        </a:p>
        <a:p>
          <a:r>
            <a:rPr lang="en-US" sz="1300" b="0" u="none" baseline="0"/>
            <a:t>Column 7 shows the aggregation level and Column 8 shows the selected base segment.</a:t>
          </a:r>
        </a:p>
        <a:p>
          <a:endParaRPr lang="en-US" sz="1300" baseline="0"/>
        </a:p>
        <a:p>
          <a:r>
            <a:rPr lang="en-US" sz="1300" baseline="0"/>
            <a:t>The expected relativity structure shown in Column 10 must come from a relevant, reliable, and credible external source, which in this case is from a reinsurer analysis using policies written under the same underwriting structure.  In practice, there may be alternative sources, such as industry data, affiliate data, or data from other products written by the company, depending on the mortality segments.   Note that the source of the data being external to the company's experience study data underlying their aggregate A/E for PBR is needed in particular to avoid the false aggregation shown in "Relativistic Method - Example 4".  Note that the relativities between classes are different than those implied by the RR Tool results.  This relativity structure is applied to the A/E for the base class to obtain the relativity-based A/E's shown in Column 11, which are then subject to normalization. This subdivides the aggregate mortality experience into mortality segments.</a:t>
          </a:r>
        </a:p>
        <a:p>
          <a:endParaRPr lang="en-US" sz="1300" baseline="0"/>
        </a:p>
        <a:p>
          <a:r>
            <a:rPr lang="en-US" sz="1300" baseline="0">
              <a:solidFill>
                <a:schemeClr val="dk1"/>
              </a:solidFill>
              <a:effectLst/>
              <a:latin typeface="+mn-lt"/>
              <a:ea typeface="+mn-ea"/>
              <a:cs typeface="+mn-cs"/>
            </a:rPr>
            <a:t>In Column 11, the A/E ratios are relative to the RR table for the base class, not the original RR table.  In the final step (Column 16), the A/E's will be translated back to the original RR table for each mortality segment.  For simplicity in this basic example, we treat the RR tables as scalar multiples of each other.  In actual practice, since the RR tables are not simple scalar multiples of one another, the expected claim amounts based on the RR tables and resulting relativity between the two would be derived based on the company's actual policy distribution.  This simplistic example assumes that the scaled expected claim amounts are E</a:t>
          </a:r>
          <a:r>
            <a:rPr lang="en-US" sz="1300" baseline="-25000">
              <a:solidFill>
                <a:schemeClr val="dk1"/>
              </a:solidFill>
              <a:effectLst/>
              <a:latin typeface="+mn-lt"/>
              <a:ea typeface="+mn-ea"/>
              <a:cs typeface="+mn-cs"/>
            </a:rPr>
            <a:t>S</a:t>
          </a:r>
          <a:r>
            <a:rPr lang="en-US" sz="1300" baseline="30000">
              <a:solidFill>
                <a:schemeClr val="dk1"/>
              </a:solidFill>
              <a:effectLst/>
              <a:latin typeface="+mn-lt"/>
              <a:ea typeface="+mn-ea"/>
              <a:cs typeface="+mn-cs"/>
            </a:rPr>
            <a:t>Scaled</a:t>
          </a:r>
          <a:r>
            <a:rPr lang="en-US" sz="1300" baseline="0">
              <a:solidFill>
                <a:schemeClr val="dk1"/>
              </a:solidFill>
              <a:effectLst/>
              <a:latin typeface="+mn-lt"/>
              <a:ea typeface="+mn-ea"/>
              <a:cs typeface="+mn-cs"/>
            </a:rPr>
            <a:t> = E</a:t>
          </a:r>
          <a:r>
            <a:rPr lang="en-US" sz="1300" baseline="-25000">
              <a:solidFill>
                <a:schemeClr val="dk1"/>
              </a:solidFill>
              <a:effectLst/>
              <a:latin typeface="+mn-lt"/>
              <a:ea typeface="+mn-ea"/>
              <a:cs typeface="+mn-cs"/>
            </a:rPr>
            <a:t>S</a:t>
          </a:r>
          <a:r>
            <a:rPr lang="en-US" sz="1300" baseline="0">
              <a:solidFill>
                <a:schemeClr val="dk1"/>
              </a:solidFill>
              <a:effectLst/>
              <a:latin typeface="+mn-lt"/>
              <a:ea typeface="+mn-ea"/>
              <a:cs typeface="+mn-cs"/>
            </a:rPr>
            <a:t> x (RR</a:t>
          </a:r>
          <a:r>
            <a:rPr lang="en-US" sz="1300" baseline="-25000">
              <a:solidFill>
                <a:schemeClr val="dk1"/>
              </a:solidFill>
              <a:effectLst/>
              <a:latin typeface="+mn-lt"/>
              <a:ea typeface="+mn-ea"/>
              <a:cs typeface="+mn-cs"/>
            </a:rPr>
            <a:t>B</a:t>
          </a:r>
          <a:r>
            <a:rPr lang="en-US" sz="1300" baseline="0">
              <a:solidFill>
                <a:schemeClr val="dk1"/>
              </a:solidFill>
              <a:effectLst/>
              <a:latin typeface="+mn-lt"/>
              <a:ea typeface="+mn-ea"/>
              <a:cs typeface="+mn-cs"/>
            </a:rPr>
            <a:t> / RR</a:t>
          </a:r>
          <a:r>
            <a:rPr lang="en-US" sz="1300" baseline="-25000">
              <a:solidFill>
                <a:schemeClr val="dk1"/>
              </a:solidFill>
              <a:effectLst/>
              <a:latin typeface="+mn-lt"/>
              <a:ea typeface="+mn-ea"/>
              <a:cs typeface="+mn-cs"/>
            </a:rPr>
            <a:t>S</a:t>
          </a:r>
          <a:r>
            <a:rPr lang="en-US" sz="1300" baseline="0">
              <a:solidFill>
                <a:schemeClr val="dk1"/>
              </a:solidFill>
              <a:effectLst/>
              <a:latin typeface="+mn-lt"/>
              <a:ea typeface="+mn-ea"/>
              <a:cs typeface="+mn-cs"/>
            </a:rPr>
            <a:t>), where E</a:t>
          </a:r>
          <a:r>
            <a:rPr lang="en-US" sz="1300" baseline="-25000">
              <a:solidFill>
                <a:schemeClr val="dk1"/>
              </a:solidFill>
              <a:effectLst/>
              <a:latin typeface="+mn-lt"/>
              <a:ea typeface="+mn-ea"/>
              <a:cs typeface="+mn-cs"/>
            </a:rPr>
            <a:t>S</a:t>
          </a:r>
          <a:r>
            <a:rPr lang="en-US" sz="1300" baseline="0">
              <a:solidFill>
                <a:schemeClr val="dk1"/>
              </a:solidFill>
              <a:effectLst/>
              <a:latin typeface="+mn-lt"/>
              <a:ea typeface="+mn-ea"/>
              <a:cs typeface="+mn-cs"/>
            </a:rPr>
            <a:t> represents the expected claim levels from Column 4 for the segment class,  RR</a:t>
          </a:r>
          <a:r>
            <a:rPr lang="en-US" sz="1300" baseline="-25000">
              <a:solidFill>
                <a:schemeClr val="dk1"/>
              </a:solidFill>
              <a:effectLst/>
              <a:latin typeface="+mn-lt"/>
              <a:ea typeface="+mn-ea"/>
              <a:cs typeface="+mn-cs"/>
            </a:rPr>
            <a:t>B</a:t>
          </a:r>
          <a:r>
            <a:rPr lang="en-US" sz="1300" baseline="0">
              <a:solidFill>
                <a:schemeClr val="dk1"/>
              </a:solidFill>
              <a:effectLst/>
              <a:latin typeface="+mn-lt"/>
              <a:ea typeface="+mn-ea"/>
              <a:cs typeface="+mn-cs"/>
            </a:rPr>
            <a:t> is the VBT relative risk level selected for the base class, and RR</a:t>
          </a:r>
          <a:r>
            <a:rPr lang="en-US" sz="1300" baseline="-25000">
              <a:solidFill>
                <a:schemeClr val="dk1"/>
              </a:solidFill>
              <a:effectLst/>
              <a:latin typeface="+mn-lt"/>
              <a:ea typeface="+mn-ea"/>
              <a:cs typeface="+mn-cs"/>
            </a:rPr>
            <a:t>S</a:t>
          </a:r>
          <a:r>
            <a:rPr lang="en-US" sz="1300" baseline="0">
              <a:solidFill>
                <a:schemeClr val="dk1"/>
              </a:solidFill>
              <a:effectLst/>
              <a:latin typeface="+mn-lt"/>
              <a:ea typeface="+mn-ea"/>
              <a:cs typeface="+mn-cs"/>
            </a:rPr>
            <a:t> is the VBT relative risk level selected for the segment class.  A</a:t>
          </a:r>
          <a:r>
            <a:rPr lang="en-US" sz="1300" baseline="-25000">
              <a:solidFill>
                <a:schemeClr val="dk1"/>
              </a:solidFill>
              <a:effectLst/>
              <a:latin typeface="+mn-lt"/>
              <a:ea typeface="+mn-ea"/>
              <a:cs typeface="+mn-cs"/>
            </a:rPr>
            <a:t>S</a:t>
          </a:r>
          <a:r>
            <a:rPr lang="en-US" sz="1300" baseline="0">
              <a:solidFill>
                <a:schemeClr val="dk1"/>
              </a:solidFill>
              <a:effectLst/>
              <a:latin typeface="+mn-lt"/>
              <a:ea typeface="+mn-ea"/>
              <a:cs typeface="+mn-cs"/>
            </a:rPr>
            <a:t>' shown in Column 12 is a derived theoretical, imputed "actual" that would result for the segment if the expected relativity structure from Column 10 held.  A</a:t>
          </a:r>
          <a:r>
            <a:rPr lang="en-US" sz="1300" baseline="-25000">
              <a:solidFill>
                <a:schemeClr val="dk1"/>
              </a:solidFill>
              <a:effectLst/>
              <a:latin typeface="+mn-lt"/>
              <a:ea typeface="+mn-ea"/>
              <a:cs typeface="+mn-cs"/>
            </a:rPr>
            <a:t>S</a:t>
          </a:r>
          <a:r>
            <a:rPr lang="en-US" sz="1300" baseline="0">
              <a:solidFill>
                <a:schemeClr val="dk1"/>
              </a:solidFill>
              <a:effectLst/>
              <a:latin typeface="+mn-lt"/>
              <a:ea typeface="+mn-ea"/>
              <a:cs typeface="+mn-cs"/>
            </a:rPr>
            <a:t>' = Relativity-Based A/E for the segment (shown in Column 11) x E</a:t>
          </a:r>
          <a:r>
            <a:rPr lang="en-US" sz="1300" baseline="-25000">
              <a:solidFill>
                <a:schemeClr val="dk1"/>
              </a:solidFill>
              <a:effectLst/>
              <a:latin typeface="+mn-lt"/>
              <a:ea typeface="+mn-ea"/>
              <a:cs typeface="+mn-cs"/>
            </a:rPr>
            <a:t>S</a:t>
          </a:r>
          <a:r>
            <a:rPr lang="en-US" sz="1300" baseline="30000">
              <a:solidFill>
                <a:schemeClr val="dk1"/>
              </a:solidFill>
              <a:effectLst/>
              <a:latin typeface="+mn-lt"/>
              <a:ea typeface="+mn-ea"/>
              <a:cs typeface="+mn-cs"/>
            </a:rPr>
            <a:t>Scaled</a:t>
          </a:r>
          <a:r>
            <a:rPr lang="en-US" sz="1300" baseline="0">
              <a:solidFill>
                <a:schemeClr val="dk1"/>
              </a:solidFill>
              <a:effectLst/>
              <a:latin typeface="+mn-lt"/>
              <a:ea typeface="+mn-ea"/>
              <a:cs typeface="+mn-cs"/>
            </a:rPr>
            <a:t> (derived using Columns 3 and 4).   </a:t>
          </a:r>
        </a:p>
        <a:p>
          <a:endParaRPr lang="en-US" sz="1300" baseline="0"/>
        </a:p>
        <a:p>
          <a:r>
            <a:rPr lang="en-US" sz="1300" baseline="0"/>
            <a:t>The normalization ratio is calculated to compare the aggregate actual claim amount subtotals shown in yellow in Column 5 to the relativity-based subtotals in Column 12, for each aggregate class.  The normalization ratio is applied to obtain the normalized Relativity-Based A/E's in Column 13.  Depending on the relativity structure selected, this step may or may not be needed.  In this case, it is needed.  In Examples 1 and 2, where the relativities were just based on the RR table structure, it was not needed.  A conservation of deaths demonstration is always required.  Columns 14 and 15 demonstrate that conservation of deaths is maintained and that the relativities remain unchanged after the Relativity-Based A/E ratios are normalized, as shown by comparing the numbers in yellow (the subtotals of Column 14 must equal the subtotals of Column 5 and Column 15 must equal Column 10).</a:t>
          </a:r>
        </a:p>
        <a:p>
          <a:endParaRPr lang="en-US" sz="1300" baseline="0"/>
        </a:p>
        <a:p>
          <a:r>
            <a:rPr lang="en-US" sz="1300" baseline="0"/>
            <a:t>The company's anticipated experience assumption shown in Column 16 is equal to the normalized A/E ratios (translated back to the original RR table to represent Normalized A</a:t>
          </a:r>
          <a:r>
            <a:rPr lang="en-US" sz="1300" baseline="-25000"/>
            <a:t>S</a:t>
          </a:r>
          <a:r>
            <a:rPr lang="en-US" sz="1300" baseline="0"/>
            <a:t>'/E</a:t>
          </a:r>
          <a:r>
            <a:rPr lang="en-US" sz="1300" baseline="-25000"/>
            <a:t>S</a:t>
          </a:r>
          <a:r>
            <a:rPr lang="en-US" sz="1300" baseline="0"/>
            <a:t>), multiplied by the applicable RR tables in Column 3.</a:t>
          </a:r>
        </a:p>
        <a:p>
          <a:endParaRPr lang="en-US" sz="1300" baseline="0"/>
        </a:p>
        <a:p>
          <a:r>
            <a:rPr lang="en-US" sz="1300" baseline="0"/>
            <a:t>Note that the company could have also done additional segmentation within each of the aggregate classes, such as setting durational multipliers, as long as these more granular multipliers used within each aggregate class were determined using the full aggregate class data set and conservation of deaths was still satisfied.</a:t>
          </a:r>
        </a:p>
        <a:p>
          <a:endParaRPr lang="en-US" sz="1300" baseline="0"/>
        </a:p>
        <a:p>
          <a:endParaRPr lang="en-US" sz="13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3810</xdr:rowOff>
    </xdr:from>
    <xdr:to>
      <xdr:col>19</xdr:col>
      <xdr:colOff>1628775</xdr:colOff>
      <xdr:row>29</xdr:row>
      <xdr:rowOff>219075</xdr:rowOff>
    </xdr:to>
    <xdr:sp macro="" textlink="">
      <xdr:nvSpPr>
        <xdr:cNvPr id="2" name="TextBox 1">
          <a:extLst>
            <a:ext uri="{FF2B5EF4-FFF2-40B4-BE49-F238E27FC236}">
              <a16:creationId xmlns:a16="http://schemas.microsoft.com/office/drawing/2014/main" xmlns="" id="{00000000-0008-0000-0300-000002000000}"/>
            </a:ext>
          </a:extLst>
        </xdr:cNvPr>
        <xdr:cNvSpPr txBox="1"/>
      </xdr:nvSpPr>
      <xdr:spPr>
        <a:xfrm>
          <a:off x="0" y="432435"/>
          <a:ext cx="15992475" cy="6158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t>This is an example</a:t>
          </a:r>
          <a:r>
            <a:rPr lang="en-US" sz="1300" baseline="0"/>
            <a:t> of a process constructed to look like Relativistic Method Aggregation, but is in fact just each mortality segment standing on its own.  That is, there is </a:t>
          </a:r>
          <a:r>
            <a:rPr lang="en-US" sz="1300" baseline="0">
              <a:solidFill>
                <a:srgbClr val="FF0000"/>
              </a:solidFill>
            </a:rPr>
            <a:t>no aggregation actually occurring </a:t>
          </a:r>
          <a:r>
            <a:rPr lang="en-US" sz="1300" baseline="0"/>
            <a:t>in the mortality rate setting, and so </a:t>
          </a:r>
          <a:r>
            <a:rPr lang="en-US" sz="1300" baseline="0">
              <a:solidFill>
                <a:srgbClr val="FF0000"/>
              </a:solidFill>
            </a:rPr>
            <a:t>no aggregation would be allowed</a:t>
          </a:r>
          <a:r>
            <a:rPr lang="en-US" sz="1300" baseline="0"/>
            <a:t> when calculating credibilities or sufficient data periods.</a:t>
          </a:r>
          <a:endParaRPr lang="en-US" sz="1300"/>
        </a:p>
        <a:p>
          <a:endParaRPr lang="en-US" sz="1300"/>
        </a:p>
        <a:p>
          <a:r>
            <a:rPr lang="en-US" sz="1300"/>
            <a:t>In this example, a company has 12 mortality segments (shown in columns 1 and 2).  Substandard business is not included in the analysis.  The mortality segments were subject to</a:t>
          </a:r>
          <a:r>
            <a:rPr lang="en-US" sz="1300" baseline="0"/>
            <a:t> similar underwriting.  However, the company notes that they have fully credible experience in each of the M/F S/NS pairings, and so the company chooses to "aggregate" mortality experience to the level of MNS, MSM, FNS, and FSM and would like to use the aggregate credibility for each of these four aggregation classes (100% in each case as shown in blue) to determine the prescribed margins.  Note that when using a relativistic method (sometimes called "top down"), it is not necessary to calculate the credibility of each individual mortality segment.</a:t>
          </a:r>
        </a:p>
        <a:p>
          <a:endParaRPr lang="en-US" sz="1300" baseline="0"/>
        </a:p>
        <a:p>
          <a:r>
            <a:rPr lang="en-US" sz="1300" baseline="0"/>
            <a:t>The company intends to set its anticipated experience assumption as scalar multiples of the 2015 VBT RR Tables which were selected as the industry tables for the segments based on their RR Tool results.  Columns 3-6 show the tables indicated by the RR Tool, along with the expected claim amounts, actual claim amounts, and resulting A/E ratios.  </a:t>
          </a:r>
          <a:r>
            <a:rPr lang="en-US" sz="1300" b="1" u="sng" baseline="0">
              <a:solidFill>
                <a:schemeClr val="dk1"/>
              </a:solidFill>
              <a:effectLst/>
              <a:latin typeface="+mn-lt"/>
              <a:ea typeface="+mn-ea"/>
              <a:cs typeface="+mn-cs"/>
            </a:rPr>
            <a:t>The aggregate mortality experience is subdivided into mortality segments based on the historical relativities of mortality experience, i.e. the historical A/E's, for one segment vs. another (referred to as relativities). </a:t>
          </a:r>
          <a:r>
            <a:rPr lang="en-US" sz="1300" b="1" u="sng" baseline="0">
              <a:solidFill>
                <a:srgbClr val="FF0000"/>
              </a:solidFill>
              <a:effectLst/>
              <a:latin typeface="+mn-lt"/>
              <a:ea typeface="+mn-ea"/>
              <a:cs typeface="+mn-cs"/>
            </a:rPr>
            <a:t> In fact, as we can plainly see at the end of the example, this results in no aggregation actually occurring.</a:t>
          </a:r>
          <a:r>
            <a:rPr lang="en-US" sz="1300" b="0" u="none" baseline="0">
              <a:solidFill>
                <a:srgbClr val="FF0000"/>
              </a:solidFill>
              <a:effectLst/>
              <a:latin typeface="+mn-lt"/>
              <a:ea typeface="+mn-ea"/>
              <a:cs typeface="+mn-cs"/>
            </a:rPr>
            <a:t> </a:t>
          </a:r>
          <a:r>
            <a:rPr lang="en-US" sz="1300" b="0" u="none" baseline="0">
              <a:solidFill>
                <a:srgbClr val="FF0000"/>
              </a:solidFill>
            </a:rPr>
            <a:t> </a:t>
          </a:r>
          <a:r>
            <a:rPr lang="en-US" sz="1300" b="0" u="none" baseline="0"/>
            <a:t>These relativities are applied to an anchor segment (given a level of aggregation, the choice of the anchor segment is arbitrary - all choices will give the same final result).  In this example, there are four anchor segments, identified in Column 8.  The A/Es for these segments are shown in green in Columns 6 and 9.  </a:t>
          </a:r>
        </a:p>
        <a:p>
          <a:endParaRPr lang="en-US" sz="1300" b="0" u="none" baseline="0"/>
        </a:p>
        <a:p>
          <a:r>
            <a:rPr lang="en-US" sz="1300" b="0" u="none" baseline="0"/>
            <a:t>Column 7 shows the aggregation level and Column 8 shows the selected anchor segment.</a:t>
          </a:r>
        </a:p>
        <a:p>
          <a:endParaRPr lang="en-US" sz="1300" baseline="0"/>
        </a:p>
        <a:p>
          <a:r>
            <a:rPr lang="en-US" sz="1300" baseline="0"/>
            <a:t>For valid mortality aggregation, the expected relativity structure shown in Column 10 must come from a relevant, reliable source external to the analysis, but in this case it was not.  This relativity structure is applied to the A/E for the anchor class to obtain the relativity-based A/E's shown in Column 11, which are then subject to normalization. </a:t>
          </a:r>
        </a:p>
        <a:p>
          <a:endParaRPr lang="en-US" sz="1300" baseline="0"/>
        </a:p>
        <a:p>
          <a:r>
            <a:rPr lang="en-US" sz="1300" baseline="0"/>
            <a:t>Column 12 shows expected claim amounts based on the A/E ratios developed in Column 11.  Note that in Column 11, these are now relative to the RR table for the anchor class, not the original RR table.  In the final step, the A/E's will be translated back to the original RR table for each mortality segment.  </a:t>
          </a:r>
          <a:r>
            <a:rPr lang="en-US" sz="1300" baseline="0">
              <a:solidFill>
                <a:schemeClr val="dk1"/>
              </a:solidFill>
              <a:effectLst/>
              <a:latin typeface="+mn-lt"/>
              <a:ea typeface="+mn-ea"/>
              <a:cs typeface="+mn-cs"/>
            </a:rPr>
            <a:t>For simplicity in this basic example, we treat the RR tables as scalar multiples of each other in Column 12 and Column 16.  In actual practice, since the RR tables are not simple scalar multiples of one another, the expected claim amounts based on the RR tables and resulting relativity between the two would be derived based on the company's policy distribution.  However, the simplistic example calculates the new expected claim amounts as E</a:t>
          </a:r>
          <a:r>
            <a:rPr lang="en-US" sz="1300" baseline="-25000">
              <a:solidFill>
                <a:schemeClr val="dk1"/>
              </a:solidFill>
              <a:effectLst/>
              <a:latin typeface="+mn-lt"/>
              <a:ea typeface="+mn-ea"/>
              <a:cs typeface="+mn-cs"/>
            </a:rPr>
            <a:t>S</a:t>
          </a:r>
          <a:r>
            <a:rPr lang="en-US" sz="1300" baseline="0">
              <a:solidFill>
                <a:schemeClr val="dk1"/>
              </a:solidFill>
              <a:effectLst/>
              <a:latin typeface="+mn-lt"/>
              <a:ea typeface="+mn-ea"/>
              <a:cs typeface="+mn-cs"/>
            </a:rPr>
            <a:t> x A'/E</a:t>
          </a:r>
          <a:r>
            <a:rPr lang="en-US" sz="1300" baseline="-25000">
              <a:solidFill>
                <a:schemeClr val="dk1"/>
              </a:solidFill>
              <a:effectLst/>
              <a:latin typeface="+mn-lt"/>
              <a:ea typeface="+mn-ea"/>
              <a:cs typeface="+mn-cs"/>
            </a:rPr>
            <a:t>B</a:t>
          </a:r>
          <a:r>
            <a:rPr lang="en-US" sz="1300" baseline="0">
              <a:solidFill>
                <a:schemeClr val="dk1"/>
              </a:solidFill>
              <a:effectLst/>
              <a:latin typeface="+mn-lt"/>
              <a:ea typeface="+mn-ea"/>
              <a:cs typeface="+mn-cs"/>
            </a:rPr>
            <a:t> x E</a:t>
          </a:r>
          <a:r>
            <a:rPr lang="en-US" sz="1300" baseline="-25000">
              <a:solidFill>
                <a:schemeClr val="dk1"/>
              </a:solidFill>
              <a:effectLst/>
              <a:latin typeface="+mn-lt"/>
              <a:ea typeface="+mn-ea"/>
              <a:cs typeface="+mn-cs"/>
            </a:rPr>
            <a:t>B</a:t>
          </a:r>
          <a:r>
            <a:rPr lang="en-US" sz="1300" baseline="0">
              <a:solidFill>
                <a:schemeClr val="dk1"/>
              </a:solidFill>
              <a:effectLst/>
              <a:latin typeface="+mn-lt"/>
              <a:ea typeface="+mn-ea"/>
              <a:cs typeface="+mn-cs"/>
            </a:rPr>
            <a:t>/E</a:t>
          </a:r>
          <a:r>
            <a:rPr lang="en-US" sz="1300" baseline="-25000">
              <a:solidFill>
                <a:schemeClr val="dk1"/>
              </a:solidFill>
              <a:effectLst/>
              <a:latin typeface="+mn-lt"/>
              <a:ea typeface="+mn-ea"/>
              <a:cs typeface="+mn-cs"/>
            </a:rPr>
            <a:t>S</a:t>
          </a:r>
          <a:r>
            <a:rPr lang="en-US" sz="1300" baseline="0">
              <a:solidFill>
                <a:schemeClr val="dk1"/>
              </a:solidFill>
              <a:effectLst/>
              <a:latin typeface="+mn-lt"/>
              <a:ea typeface="+mn-ea"/>
              <a:cs typeface="+mn-cs"/>
            </a:rPr>
            <a:t> =  A', where E</a:t>
          </a:r>
          <a:r>
            <a:rPr lang="en-US" sz="1300" baseline="-25000">
              <a:solidFill>
                <a:schemeClr val="dk1"/>
              </a:solidFill>
              <a:effectLst/>
              <a:latin typeface="+mn-lt"/>
              <a:ea typeface="+mn-ea"/>
              <a:cs typeface="+mn-cs"/>
            </a:rPr>
            <a:t>B</a:t>
          </a:r>
          <a:r>
            <a:rPr lang="en-US" sz="1300" baseline="0">
              <a:solidFill>
                <a:schemeClr val="dk1"/>
              </a:solidFill>
              <a:effectLst/>
              <a:latin typeface="+mn-lt"/>
              <a:ea typeface="+mn-ea"/>
              <a:cs typeface="+mn-cs"/>
            </a:rPr>
            <a:t> and E</a:t>
          </a:r>
          <a:r>
            <a:rPr lang="en-US" sz="1300" baseline="-25000">
              <a:solidFill>
                <a:schemeClr val="dk1"/>
              </a:solidFill>
              <a:effectLst/>
              <a:latin typeface="+mn-lt"/>
              <a:ea typeface="+mn-ea"/>
              <a:cs typeface="+mn-cs"/>
            </a:rPr>
            <a:t>S</a:t>
          </a:r>
          <a:r>
            <a:rPr lang="en-US" sz="1300" baseline="0">
              <a:solidFill>
                <a:schemeClr val="dk1"/>
              </a:solidFill>
              <a:effectLst/>
              <a:latin typeface="+mn-lt"/>
              <a:ea typeface="+mn-ea"/>
              <a:cs typeface="+mn-cs"/>
            </a:rPr>
            <a:t> represent expected claim levels for the anchor class RR table and given individual mortality segment RR table, respectively, and A' is a theoretical, imputed "actual" that would result if the RR structure from Column 10 held, based on the anchor A/E in Column 9.   Here A'=A and we see that Column 12 is equal to Column 5.  Again, this is because no aggregation is occurring.</a:t>
          </a:r>
          <a:endParaRPr lang="en-US" sz="1300" baseline="0"/>
        </a:p>
        <a:p>
          <a:endParaRPr lang="en-US" sz="1300" baseline="0"/>
        </a:p>
        <a:p>
          <a:r>
            <a:rPr lang="en-US" sz="1300" baseline="0"/>
            <a:t>The normalization ratio is  calculated to compare the total relativity-based expected claim amount against the aggregate actual claim amount shown in yellow, for each aggregate class.  There is no normalization needed to maintain conservation of deaths in this case, because no aggregation actually took place and each segment is just standing on its own.  Thus, each normalized A'/E</a:t>
          </a:r>
          <a:r>
            <a:rPr lang="en-US" sz="1300" baseline="-25000"/>
            <a:t>B</a:t>
          </a:r>
          <a:r>
            <a:rPr lang="en-US" sz="1300" baseline="0"/>
            <a:t> in Column 13 is identical to the corresponding RB A'/E</a:t>
          </a:r>
          <a:r>
            <a:rPr lang="en-US" sz="1300" baseline="-25000"/>
            <a:t>B</a:t>
          </a:r>
          <a:r>
            <a:rPr lang="en-US" sz="1300" baseline="0"/>
            <a:t> in Column 11.  Columns 14-15 demonstrate that conservation of deaths is maintained and that the relativities remain unchanged after the A'/E</a:t>
          </a:r>
          <a:r>
            <a:rPr lang="en-US" sz="1300" baseline="-25000"/>
            <a:t>B</a:t>
          </a:r>
          <a:r>
            <a:rPr lang="en-US" sz="1300" baseline="0"/>
            <a:t> ratios are normalized, as shown by comparing the numbers in yellow (the subtotals of Column 14 must equal the subtotals of Column 5).  Again, this was not necessary in this case because no change to individual mortality segments is being made.</a:t>
          </a:r>
        </a:p>
        <a:p>
          <a:endParaRPr lang="en-US" sz="1300" baseline="0"/>
        </a:p>
        <a:p>
          <a:r>
            <a:rPr lang="en-US" sz="1300" baseline="0"/>
            <a:t>The company's anticipated experience assumption shown in Column 16 </a:t>
          </a:r>
          <a:r>
            <a:rPr lang="en-US" sz="1300" baseline="0">
              <a:solidFill>
                <a:srgbClr val="FF0000"/>
              </a:solidFill>
            </a:rPr>
            <a:t>may not be used</a:t>
          </a:r>
          <a:r>
            <a:rPr lang="en-US" sz="1300" baseline="0"/>
            <a:t>. Despite having gone through many steps to arrive at these assumptions and even checking conservation of deaths, </a:t>
          </a:r>
          <a:r>
            <a:rPr lang="en-US" sz="1300" b="1" baseline="0"/>
            <a:t>we see that we have just gone through a circuitous route to arrive at the original A/E's for each individual mortality that we started with</a:t>
          </a:r>
          <a:r>
            <a:rPr lang="en-US" sz="1300" baseline="0"/>
            <a:t>.  Observe that Column 16 is identical to Column 6.  The company should instead follow Relativistic Method Example 3.</a:t>
          </a:r>
        </a:p>
      </xdr:txBody>
    </xdr:sp>
    <xdr:clientData/>
  </xdr:twoCellAnchor>
  <xdr:twoCellAnchor>
    <xdr:from>
      <xdr:col>16</xdr:col>
      <xdr:colOff>695325</xdr:colOff>
      <xdr:row>35</xdr:row>
      <xdr:rowOff>0</xdr:rowOff>
    </xdr:from>
    <xdr:to>
      <xdr:col>20</xdr:col>
      <xdr:colOff>361950</xdr:colOff>
      <xdr:row>48</xdr:row>
      <xdr:rowOff>0</xdr:rowOff>
    </xdr:to>
    <xdr:sp macro="" textlink="">
      <xdr:nvSpPr>
        <xdr:cNvPr id="3" name="&quot;No&quot; Symbol 2">
          <a:extLst>
            <a:ext uri="{FF2B5EF4-FFF2-40B4-BE49-F238E27FC236}">
              <a16:creationId xmlns:a16="http://schemas.microsoft.com/office/drawing/2014/main" xmlns="" id="{00000000-0008-0000-0300-000003000000}"/>
            </a:ext>
          </a:extLst>
        </xdr:cNvPr>
        <xdr:cNvSpPr/>
      </xdr:nvSpPr>
      <xdr:spPr>
        <a:xfrm>
          <a:off x="13506450" y="8362950"/>
          <a:ext cx="2914650" cy="3486150"/>
        </a:xfrm>
        <a:prstGeom prst="noSmoking">
          <a:avLst>
            <a:gd name="adj" fmla="val 1366"/>
          </a:avLst>
        </a:prstGeom>
        <a:solidFill>
          <a:srgbClr val="FF0000"/>
        </a:solidFill>
        <a:ln>
          <a:solidFill>
            <a:srgbClr val="C00000"/>
          </a:solidFill>
        </a:ln>
        <a:effectLst>
          <a:innerShdw blurRad="63500" dist="50800" dir="189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solidFill>
                <a:srgbClr val="FF0000"/>
              </a:solidFill>
            </a:ln>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7621</xdr:rowOff>
    </xdr:from>
    <xdr:to>
      <xdr:col>21</xdr:col>
      <xdr:colOff>927735</xdr:colOff>
      <xdr:row>20</xdr:row>
      <xdr:rowOff>38101</xdr:rowOff>
    </xdr:to>
    <xdr:sp macro="" textlink="">
      <xdr:nvSpPr>
        <xdr:cNvPr id="4" name="TextBox 3">
          <a:extLst>
            <a:ext uri="{FF2B5EF4-FFF2-40B4-BE49-F238E27FC236}">
              <a16:creationId xmlns:a16="http://schemas.microsoft.com/office/drawing/2014/main" xmlns="" id="{00000000-0008-0000-0400-000004000000}"/>
            </a:ext>
          </a:extLst>
        </xdr:cNvPr>
        <xdr:cNvSpPr txBox="1"/>
      </xdr:nvSpPr>
      <xdr:spPr>
        <a:xfrm>
          <a:off x="0" y="419101"/>
          <a:ext cx="14178915" cy="3299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t>In this example, a company has 12 mortality segments (shown in columns 1 and 2).  Substandard business is not included in the analysis.  Since the segments were subject to</a:t>
          </a:r>
          <a:r>
            <a:rPr lang="en-US" sz="1300" baseline="0"/>
            <a:t> similar underwriting, the company intends to aggregate all mortality experience and will use the aggregate credibility (100% as shown in blue) to determine the prescribed margins.  When using a weighting method (sometimes called "bottom up"), the credibility of each individual mortality segment is needed and is used in the calculation.  </a:t>
          </a:r>
        </a:p>
        <a:p>
          <a:endParaRPr lang="en-US" sz="1300" baseline="0"/>
        </a:p>
        <a:p>
          <a:r>
            <a:rPr lang="en-US" sz="1300" baseline="0">
              <a:solidFill>
                <a:schemeClr val="dk1"/>
              </a:solidFill>
              <a:effectLst/>
              <a:latin typeface="+mn-lt"/>
              <a:ea typeface="+mn-ea"/>
              <a:cs typeface="+mn-cs"/>
            </a:rPr>
            <a:t>The company intends to set its anticipated experience assumption as scalar multiples of the 2015 VBT RR Tables which were selected as the industry tables for the segments based on their RR Tool results.  </a:t>
          </a:r>
          <a:r>
            <a:rPr lang="en-US" sz="1300" baseline="0"/>
            <a:t>Columns 3-6 show the tables indicated by the RR Tool, along with the expected claim amounts, actual claim amounts, and resulting A/E ratios.  </a:t>
          </a:r>
          <a:r>
            <a:rPr lang="en-US" sz="1300" b="1" u="sng" baseline="0">
              <a:solidFill>
                <a:schemeClr val="dk1"/>
              </a:solidFill>
              <a:effectLst/>
              <a:latin typeface="+mn-lt"/>
              <a:ea typeface="+mn-ea"/>
              <a:cs typeface="+mn-cs"/>
            </a:rPr>
            <a:t>A credibility weighting approach is used to adjust the experience of each mortality segment to reflect the aggregate company experience.</a:t>
          </a:r>
          <a:endParaRPr lang="en-US" sz="1300" b="1" u="sng" baseline="0"/>
        </a:p>
        <a:p>
          <a:endParaRPr lang="en-US" sz="1300" baseline="0"/>
        </a:p>
        <a:p>
          <a:r>
            <a:rPr lang="en-US" sz="1300" baseline="0"/>
            <a:t>Columns 7-11 show how credibility-weighted A/E ratios are calculated for all mortality segments using the mortality segment's A/E ratio, the mortality segment's credibility, and the aggregate class A/E.  Each mortality segment reflects its own experience, to the extent that it is credible.  For each mortality segment that is not fully credible, the aggregate A/E ratio informs and adjusts the segment's A/E ratio.  A segment with low credibility is, therefore, heavily influenced by the aggregate class A/E.  In contrast, a fully credible individual mortality segment is not at all affected by the aggregate class A/E.</a:t>
          </a:r>
        </a:p>
        <a:p>
          <a:endParaRPr lang="en-US" sz="1300" baseline="0"/>
        </a:p>
        <a:p>
          <a:r>
            <a:rPr lang="en-US" sz="1300" baseline="0"/>
            <a:t>Column 12 shows expected claim amounts based on the A/E ratios developed in Column 11.  A normalization ratio is then calculated to compare  the aggregate actual claim amount shown in yellow in Column 5 to the total expected claim amount in Column 12.  Columns 13-14 demonstrate that conservation of deaths is maintained, as shown by comparing the numbers in yellow.</a:t>
          </a:r>
        </a:p>
        <a:p>
          <a:endParaRPr lang="en-US" sz="1300" baseline="0"/>
        </a:p>
        <a:p>
          <a:r>
            <a:rPr lang="en-US" sz="1300" baseline="0"/>
            <a:t>The company's anticipated experience assumption is then equal to the normalized A/E ratios multiplied by the applicable 2015 VBT RR table, as shown in Column 15.</a:t>
          </a:r>
        </a:p>
        <a:p>
          <a:endParaRPr lang="en-US" sz="1300" baseline="0"/>
        </a:p>
        <a:p>
          <a:r>
            <a:rPr lang="en-US" sz="1300"/>
            <a:t>Note that the company could have also done additional segmentation within the aggregate class, such as setting durational multipliers, as long as these more granular multipliers were determined using the full aggregate data set and conservation of deaths was still satisfied.</a:t>
          </a:r>
        </a:p>
        <a:p>
          <a:endParaRPr lang="en-US" sz="13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7621</xdr:rowOff>
    </xdr:from>
    <xdr:to>
      <xdr:col>21</xdr:col>
      <xdr:colOff>927735</xdr:colOff>
      <xdr:row>19</xdr:row>
      <xdr:rowOff>38101</xdr:rowOff>
    </xdr:to>
    <xdr:sp macro="" textlink="">
      <xdr:nvSpPr>
        <xdr:cNvPr id="2" name="TextBox 1">
          <a:extLst>
            <a:ext uri="{FF2B5EF4-FFF2-40B4-BE49-F238E27FC236}">
              <a16:creationId xmlns:a16="http://schemas.microsoft.com/office/drawing/2014/main" xmlns="" id="{00000000-0008-0000-0500-000002000000}"/>
            </a:ext>
          </a:extLst>
        </xdr:cNvPr>
        <xdr:cNvSpPr txBox="1"/>
      </xdr:nvSpPr>
      <xdr:spPr>
        <a:xfrm>
          <a:off x="0" y="436246"/>
          <a:ext cx="13186410" cy="3497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t>In this example, a company has 10 fully underwritten mortality segments and 4 simplified issue mortality segments (shown in columns 1 and 2).  Substandard business is not included in the analysis.  The company intends to aggregate the segments which were subject to</a:t>
          </a:r>
          <a:r>
            <a:rPr lang="en-US" sz="1300" baseline="0"/>
            <a:t> similar underwriting (all FUW together, all SI together - 100% credibility for FUW and 75% credibility for SI, as shown in blue) to determine the prescribed margins.  The FUW and SI segments are not all combined into one aggregate class, because they are subject to dissimilar underwriting.   When using a weighting method (sometimes called "bottom up"), the credibility of each individual mortality segment is needed and is used in the calculation.  </a:t>
          </a:r>
        </a:p>
        <a:p>
          <a:endParaRPr lang="en-US" sz="1300" baseline="0"/>
        </a:p>
        <a:p>
          <a:r>
            <a:rPr lang="en-US" sz="1300" baseline="0">
              <a:solidFill>
                <a:schemeClr val="dk1"/>
              </a:solidFill>
              <a:effectLst/>
              <a:latin typeface="+mn-lt"/>
              <a:ea typeface="+mn-ea"/>
              <a:cs typeface="+mn-cs"/>
            </a:rPr>
            <a:t>The company intends to set its anticipated experience assumption as scalar multiples of the 2015 VBT RR Tables which were selected as the industry tables for the segments based on their RR Tool results for FUW.  For SI, </a:t>
          </a:r>
          <a:r>
            <a:rPr kumimoji="0" lang="en-US" sz="1300" b="0" i="0" u="none" strike="noStrike" kern="0" cap="none" spc="0" normalizeH="0" baseline="0" noProof="0">
              <a:ln>
                <a:noFill/>
              </a:ln>
              <a:solidFill>
                <a:prstClr val="black"/>
              </a:solidFill>
              <a:effectLst/>
              <a:uLnTx/>
              <a:uFillTx/>
              <a:latin typeface="+mn-lt"/>
              <a:ea typeface="+mn-ea"/>
              <a:cs typeface="+mn-cs"/>
            </a:rPr>
            <a:t>the company intends to set its anticipated experience assumption as scalar multiples of the 2008 VBT LU tables.  </a:t>
          </a:r>
          <a:r>
            <a:rPr lang="en-US" sz="1300" baseline="0"/>
            <a:t>Columns 3-6 show the base tables selected, along with the expected claim amounts, actual claim amounts, and resulting A/E ratios.  </a:t>
          </a:r>
          <a:r>
            <a:rPr lang="en-US" sz="1300" b="1" u="sng" baseline="0">
              <a:solidFill>
                <a:schemeClr val="dk1"/>
              </a:solidFill>
              <a:effectLst/>
              <a:latin typeface="+mn-lt"/>
              <a:ea typeface="+mn-ea"/>
              <a:cs typeface="+mn-cs"/>
            </a:rPr>
            <a:t>A credibility weighting approach is used to adjust the experience of each mortality segment to reflect the aggregate experience for the FUW and SI classes.</a:t>
          </a:r>
          <a:endParaRPr lang="en-US" sz="1300" b="1" u="sng" baseline="0"/>
        </a:p>
        <a:p>
          <a:endParaRPr lang="en-US" sz="1300" baseline="0"/>
        </a:p>
        <a:p>
          <a:r>
            <a:rPr lang="en-US" sz="1300" baseline="0"/>
            <a:t>Columns 7-11 show how credibility-weighted A/E ratios are calculated for all mortality segments using the mortality segment's A/E ratio, the mortality segment's credibility, and the aggregate class A/E.   Each mortality segment reflects its own experience, to the extent that it is credible. For each mortality segment that is not fully credible, the aggregate A/E ratio informs and adjusts the segment's A/E ratio.  A segment with low credibility is, therefore, heavily influenced by the aggregate class A/E.  In contrast, a fully credible individual mortality segment is not at all affected by the aggregate class A/E.</a:t>
          </a:r>
        </a:p>
        <a:p>
          <a:endParaRPr lang="en-US" sz="1300" baseline="0"/>
        </a:p>
        <a:p>
          <a:r>
            <a:rPr lang="en-US" sz="1300" baseline="0"/>
            <a:t>Column 12 shows expected claim amounts based on the A/E ratios developed in Column 11.  A normalization ratio is then calculated to compare  the aggregate actual claim amount subtotalsshown in yellow in Column 5 to the total expected claim amount subtotals in Column 12.  Columns 13-14 demonstrate that conservation of deaths is maintained, as shown by comparing the numbers in yellow.</a:t>
          </a:r>
        </a:p>
        <a:p>
          <a:endParaRPr lang="en-US" sz="1300" baseline="0"/>
        </a:p>
        <a:p>
          <a:r>
            <a:rPr lang="en-US" sz="1300" baseline="0"/>
            <a:t>The company's anticipated experience assumption is then equal to the normalized A/E ratios multiplied by the applicable 2015 VBT RR table, as shown in Column 15.</a:t>
          </a:r>
        </a:p>
        <a:p>
          <a:endParaRPr lang="en-US" sz="1300" baseline="0"/>
        </a:p>
        <a:p>
          <a:r>
            <a:rPr lang="en-US" sz="1300"/>
            <a:t>Note that the company could have also done additional segmentation within each of the aggregate classes, such as setting durational multipliers, as long as these more granular multipliers used within each aggregate class were determined using the full aggregate class data set and conservation of deaths was still satisfied.</a:t>
          </a:r>
        </a:p>
        <a:p>
          <a:endParaRPr lang="en-US" sz="13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7621</xdr:rowOff>
    </xdr:from>
    <xdr:to>
      <xdr:col>22</xdr:col>
      <xdr:colOff>0</xdr:colOff>
      <xdr:row>23</xdr:row>
      <xdr:rowOff>169333</xdr:rowOff>
    </xdr:to>
    <xdr:sp macro="" textlink="">
      <xdr:nvSpPr>
        <xdr:cNvPr id="2" name="TextBox 1">
          <a:extLst>
            <a:ext uri="{FF2B5EF4-FFF2-40B4-BE49-F238E27FC236}">
              <a16:creationId xmlns:a16="http://schemas.microsoft.com/office/drawing/2014/main" xmlns="" id="{00000000-0008-0000-0600-000002000000}"/>
            </a:ext>
          </a:extLst>
        </xdr:cNvPr>
        <xdr:cNvSpPr txBox="1"/>
      </xdr:nvSpPr>
      <xdr:spPr>
        <a:xfrm>
          <a:off x="0" y="441538"/>
          <a:ext cx="13800667" cy="52734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t>This is an example that</a:t>
          </a:r>
          <a:r>
            <a:rPr lang="en-US" sz="1300" baseline="0"/>
            <a:t> looks similar to the Weighting Method in Example 5, but does not in fact use the aggregate mortality data to inform the individual mortality segment rates and so the company would not be permitted to use any aggregation when calculating credibilities or sufficient data periods.    That is, there is  </a:t>
          </a:r>
          <a:r>
            <a:rPr lang="en-US" sz="1300" baseline="0">
              <a:solidFill>
                <a:srgbClr val="FF0000"/>
              </a:solidFill>
            </a:rPr>
            <a:t>no aggregation actually occuring in the mortality rate setting</a:t>
          </a:r>
          <a:r>
            <a:rPr lang="en-US" sz="1300" baseline="0"/>
            <a:t>, and </a:t>
          </a:r>
          <a:r>
            <a:rPr lang="en-US" sz="1300" baseline="0">
              <a:solidFill>
                <a:srgbClr val="FF0000"/>
              </a:solidFill>
            </a:rPr>
            <a:t>so no aggregation would be allowed </a:t>
          </a:r>
          <a:r>
            <a:rPr lang="en-US" sz="1300" baseline="0"/>
            <a:t>when calculating credibilities or sufficient data periods.</a:t>
          </a:r>
        </a:p>
        <a:p>
          <a:endParaRPr lang="en-US" sz="1300"/>
        </a:p>
        <a:p>
          <a:r>
            <a:rPr lang="en-US" sz="1300"/>
            <a:t>In this example, a company has 12 mortality segments (shown in Columns 1 and 2).  Substandard business is  not included in the analysis.  Since the segments were subject to</a:t>
          </a:r>
          <a:r>
            <a:rPr lang="en-US" sz="1300" baseline="0"/>
            <a:t> similar underwriting, the company intends to "aggregate" all mortality experience and would like to use the aggregate credibility (100% as shown  in blue) to determine the prescribed margins.  When using a weighting method (sometimes called "bottom up"), the credibility of each individual mortality segment is needed and is used in the calculation..</a:t>
          </a:r>
        </a:p>
        <a:p>
          <a:r>
            <a:rPr lang="en-US" sz="1300" baseline="0"/>
            <a:t> </a:t>
          </a:r>
        </a:p>
        <a:p>
          <a:r>
            <a:rPr lang="en-US" sz="1300" baseline="0">
              <a:solidFill>
                <a:schemeClr val="dk1"/>
              </a:solidFill>
              <a:effectLst/>
              <a:latin typeface="+mn-lt"/>
              <a:ea typeface="+mn-ea"/>
              <a:cs typeface="+mn-cs"/>
            </a:rPr>
            <a:t>The company intends to set its anticipated experience assumption as scalar multiples of the 2015 VBT RR Tables which were selected as the industry tables for the segments based on their RR Tool results.  </a:t>
          </a:r>
          <a:r>
            <a:rPr lang="en-US" sz="1300" baseline="0"/>
            <a:t>Columns 3-6 show the tables indicated by the RR Tool, along with the expected claim amounts, actual claim amounts, and resulting A/E ratios.  </a:t>
          </a:r>
          <a:r>
            <a:rPr lang="en-US" sz="1300" b="1" u="sng" baseline="0">
              <a:solidFill>
                <a:schemeClr val="dk1"/>
              </a:solidFill>
              <a:effectLst/>
              <a:latin typeface="+mn-lt"/>
              <a:ea typeface="+mn-ea"/>
              <a:cs typeface="+mn-cs"/>
            </a:rPr>
            <a:t>A credibility weighting approach is used to adjust the experience of each mortality segment to reflect the complement experience. However, since the company has failed to use the aggregate experience as the complement experience but has instead used an external A/E (e.g., based on industry or reinsurer data), no mortality aggregation of the mortality segments  is in fact occurring.</a:t>
          </a:r>
          <a:endParaRPr lang="en-US" sz="1300" b="1" u="sng" baseline="0"/>
        </a:p>
        <a:p>
          <a:endParaRPr lang="en-US" sz="1300" baseline="0"/>
        </a:p>
        <a:p>
          <a:r>
            <a:rPr lang="en-US" sz="1300" baseline="0"/>
            <a:t>Columns 7-11 show how credibility-weighted A/E ratios are calculated for all mortality segments using the mortality segment's A/E ratio, the mortality segment's credibility, and the  external A/E.   Each mortality segment reflects its own experience, to the extent that it is credible.  For each mortality segment that is not fully credible, the external A/E ratio informs and adjusts the segment's A/E ratio, </a:t>
          </a:r>
          <a:r>
            <a:rPr lang="en-US" sz="1300" baseline="0">
              <a:solidFill>
                <a:srgbClr val="FF0000"/>
              </a:solidFill>
            </a:rPr>
            <a:t>but the aggregate A/E ratio (80.9%) does not</a:t>
          </a:r>
          <a:r>
            <a:rPr lang="en-US" sz="1300" baseline="0"/>
            <a:t>. Comparing to the correct Example 1, we see that low-credibility segments mostly reflect the external A/E rather than mostly reflecting the aggregate A/E.    A segment with low credibility is, therefore, heavily influenced by the external class A/E rather than the aggregate A/E.</a:t>
          </a:r>
        </a:p>
        <a:p>
          <a:endParaRPr lang="en-US" sz="1300" baseline="0"/>
        </a:p>
        <a:p>
          <a:r>
            <a:rPr lang="en-US" sz="1300" baseline="0"/>
            <a:t>Column 12 shows expected claim amounts based on the A/E ratios developed in Column 11.  A normalization ratio is then calculated to compare this total expected claim amount against the aggregate actual claim amount shown in yellow.  Columns 13-14 demonstrate that conservation of deaths is maintained, as shown by comparing the numbers in yellow. Despite the final conservation of deaths step, the individual mortality segments have not been informed by and made more credible based on the aggregate experience. </a:t>
          </a:r>
        </a:p>
        <a:p>
          <a:endParaRPr lang="en-US" sz="1300" baseline="0"/>
        </a:p>
        <a:p>
          <a:r>
            <a:rPr lang="en-US" sz="1300" baseline="0"/>
            <a:t>The company's anticipated experience assumption shown in Column 15 </a:t>
          </a:r>
          <a:r>
            <a:rPr lang="en-US" sz="1300" baseline="0">
              <a:solidFill>
                <a:srgbClr val="FF0000"/>
              </a:solidFill>
            </a:rPr>
            <a:t>may not be used</a:t>
          </a:r>
          <a:r>
            <a:rPr lang="en-US" sz="1300" baseline="0"/>
            <a:t>. The company should instead follow Weighting Method Example 5. </a:t>
          </a:r>
          <a:endParaRPr lang="en-US" sz="1300"/>
        </a:p>
      </xdr:txBody>
    </xdr:sp>
    <xdr:clientData/>
  </xdr:twoCellAnchor>
  <xdr:twoCellAnchor>
    <xdr:from>
      <xdr:col>17</xdr:col>
      <xdr:colOff>582084</xdr:colOff>
      <xdr:row>28</xdr:row>
      <xdr:rowOff>1174750</xdr:rowOff>
    </xdr:from>
    <xdr:to>
      <xdr:col>22</xdr:col>
      <xdr:colOff>412751</xdr:colOff>
      <xdr:row>43</xdr:row>
      <xdr:rowOff>10583</xdr:rowOff>
    </xdr:to>
    <xdr:sp macro="" textlink="">
      <xdr:nvSpPr>
        <xdr:cNvPr id="3" name="&quot;No&quot; Symbol 2">
          <a:extLst>
            <a:ext uri="{FF2B5EF4-FFF2-40B4-BE49-F238E27FC236}">
              <a16:creationId xmlns:a16="http://schemas.microsoft.com/office/drawing/2014/main" xmlns="" id="{00000000-0008-0000-0600-000003000000}"/>
            </a:ext>
          </a:extLst>
        </xdr:cNvPr>
        <xdr:cNvSpPr/>
      </xdr:nvSpPr>
      <xdr:spPr>
        <a:xfrm>
          <a:off x="11281834" y="6995583"/>
          <a:ext cx="2931584" cy="3958167"/>
        </a:xfrm>
        <a:prstGeom prst="noSmoking">
          <a:avLst>
            <a:gd name="adj" fmla="val 1553"/>
          </a:avLst>
        </a:prstGeom>
        <a:solidFill>
          <a:srgbClr val="FF0000"/>
        </a:solidFill>
        <a:ln>
          <a:solidFill>
            <a:srgbClr val="C00000"/>
          </a:solidFill>
        </a:ln>
        <a:effectLst>
          <a:innerShdw blurRad="63500" dist="50800" dir="189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n>
              <a:solidFill>
                <a:srgbClr val="FF0000"/>
              </a:solidFill>
            </a:ln>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104775</xdr:colOff>
      <xdr:row>1</xdr:row>
      <xdr:rowOff>38101</xdr:rowOff>
    </xdr:from>
    <xdr:to>
      <xdr:col>12</xdr:col>
      <xdr:colOff>546735</xdr:colOff>
      <xdr:row>25</xdr:row>
      <xdr:rowOff>180975</xdr:rowOff>
    </xdr:to>
    <xdr:sp macro="" textlink="">
      <xdr:nvSpPr>
        <xdr:cNvPr id="2" name="TextBox 1">
          <a:extLst>
            <a:ext uri="{FF2B5EF4-FFF2-40B4-BE49-F238E27FC236}">
              <a16:creationId xmlns:a16="http://schemas.microsoft.com/office/drawing/2014/main" xmlns="" id="{00000000-0008-0000-0400-000004000000}"/>
            </a:ext>
          </a:extLst>
        </xdr:cNvPr>
        <xdr:cNvSpPr txBox="1"/>
      </xdr:nvSpPr>
      <xdr:spPr>
        <a:xfrm>
          <a:off x="104775" y="276226"/>
          <a:ext cx="13138785" cy="5229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t>In this example, a company has 24 mortality segments (shown in </a:t>
          </a:r>
          <a:r>
            <a:rPr lang="en-US" sz="1300">
              <a:solidFill>
                <a:schemeClr val="dk1"/>
              </a:solidFill>
              <a:effectLst/>
              <a:latin typeface="+mn-lt"/>
              <a:ea typeface="+mn-ea"/>
              <a:cs typeface="+mn-cs"/>
            </a:rPr>
            <a:t>Rows 37-60 Columns 1 and 2</a:t>
          </a:r>
          <a:r>
            <a:rPr lang="en-US" sz="1300"/>
            <a:t>) which vary by sex, risk class, and face band.  Substandard business is not included in the analysis.  Since the segments were subject to</a:t>
          </a:r>
          <a:r>
            <a:rPr lang="en-US" sz="1300" baseline="0"/>
            <a:t> similar underwriting, the company intends to aggregate all mortality experience and will use the aggregate credibility (100% as shown in blue) to determine the prescribed margins.  The company applies the weighting method and relativistic method in a dependent sequence (sometimes called "two-step"). </a:t>
          </a:r>
        </a:p>
        <a:p>
          <a:endParaRPr lang="en-US" sz="1300" baseline="0"/>
        </a:p>
        <a:p>
          <a:r>
            <a:rPr lang="en-US" sz="1300" baseline="0">
              <a:solidFill>
                <a:schemeClr val="dk1"/>
              </a:solidFill>
              <a:effectLst/>
              <a:latin typeface="+mn-lt"/>
              <a:ea typeface="+mn-ea"/>
              <a:cs typeface="+mn-cs"/>
            </a:rPr>
            <a:t>The company intends to set its anticipated experience assumption as scalar multiples of the 2015 VBT RR Tables which were selected as the industry tables for the segments based on their RR Tool results.  In Rows 37-60, </a:t>
          </a:r>
          <a:r>
            <a:rPr lang="en-US" sz="1300" baseline="0"/>
            <a:t>Columns 3-6 show the tables indicated by the RR Tool, along with the expected claim amounts, actual claim amounts, and resulting A/E ratios.  </a:t>
          </a:r>
          <a:r>
            <a:rPr lang="en-US" sz="1300" b="1" u="sng" baseline="0">
              <a:solidFill>
                <a:schemeClr val="dk1"/>
              </a:solidFill>
              <a:effectLst/>
              <a:latin typeface="+mn-lt"/>
              <a:ea typeface="+mn-ea"/>
              <a:cs typeface="+mn-cs"/>
            </a:rPr>
            <a:t>A credibility weighting approach is used to adjust the experience of subgroups formed by grouping mortality segments to reflect the aggregate company experience. In the second step, the starting point is the subgroups' credibility weighted adjusted experience which is used to adjust segment experience which is retained in applying relativity ratios</a:t>
          </a:r>
          <a:r>
            <a:rPr lang="en-US" sz="1300" b="1" u="none" baseline="0">
              <a:solidFill>
                <a:schemeClr val="dk1"/>
              </a:solidFill>
              <a:effectLst/>
              <a:latin typeface="+mn-lt"/>
              <a:ea typeface="+mn-ea"/>
              <a:cs typeface="+mn-cs"/>
            </a:rPr>
            <a:t>. </a:t>
          </a:r>
          <a:r>
            <a:rPr lang="en-US" sz="1300" u="none" baseline="0">
              <a:solidFill>
                <a:schemeClr val="dk1"/>
              </a:solidFill>
              <a:effectLst/>
              <a:latin typeface="+mn-lt"/>
              <a:ea typeface="+mn-ea"/>
              <a:cs typeface="+mn-cs"/>
            </a:rPr>
            <a:t>In</a:t>
          </a:r>
          <a:r>
            <a:rPr lang="en-US" sz="1300" baseline="0">
              <a:solidFill>
                <a:schemeClr val="dk1"/>
              </a:solidFill>
              <a:effectLst/>
              <a:latin typeface="+mn-lt"/>
              <a:ea typeface="+mn-ea"/>
              <a:cs typeface="+mn-cs"/>
            </a:rPr>
            <a:t> this example, Example 5's bottom-up method is used. Example 5's outputs of adjusted credibility-weighted A's, E's, and A/E's are then used as inputs in the second step which applies Example 3's relativistic methodology.</a:t>
          </a:r>
          <a:endParaRPr lang="en-US" sz="1300" b="1" u="sng" baseline="0"/>
        </a:p>
        <a:p>
          <a:endParaRPr lang="en-US" sz="1300" baseline="0"/>
        </a:p>
        <a:p>
          <a:r>
            <a:rPr lang="en-US" sz="1300" baseline="0"/>
            <a:t>Step 0: In Rows 37-60, Columns 1-6 identify the segments and the segment's basis for E, E, A, and A/E. For illustrative purposes, values are derived from Example 5. Column 7 specifies the subgroup to which segments are aggregated as subsets of the aggregate class.</a:t>
          </a:r>
        </a:p>
        <a:p>
          <a:endParaRPr lang="en-US" sz="1300" baseline="0"/>
        </a:p>
        <a:p>
          <a:r>
            <a:rPr lang="en-US" sz="1300" baseline="0"/>
            <a:t>Step 1: Rows 71-83 aggregate segments that differ by face band to form subgroups that vary by just sex and risk class. In Columns 1-15 in Rows 71-83, the credibility-weighted A/E ratios are calculated for all subgroups using the subgroup's A/E ratio, the subgroups's credibility, the aggregate class A/E, and then normalized. </a:t>
          </a:r>
          <a:r>
            <a:rPr lang="en-US" sz="1300" baseline="0">
              <a:solidFill>
                <a:schemeClr val="dk1"/>
              </a:solidFill>
              <a:effectLst/>
              <a:latin typeface="+mn-lt"/>
              <a:ea typeface="+mn-ea"/>
              <a:cs typeface="+mn-cs"/>
            </a:rPr>
            <a:t>Observe that Columns 1-14's formulas and values are identical to Example 5 except the rows are subgroups rather than mortality segments. </a:t>
          </a:r>
          <a:endParaRPr lang="en-US" sz="1300" baseline="0"/>
        </a:p>
        <a:p>
          <a:endParaRPr lang="en-US" sz="1300" baseline="0"/>
        </a:p>
        <a:p>
          <a:r>
            <a:rPr lang="en-US" sz="1300" baseline="0"/>
            <a:t>Step 2: In Rows 37-60, Columns 8-11 adjust or scale each segment's experience to reflect its subgroup's adjusted credibility-weighted experience from Step 1. Columns 8-9 show the subgroups' </a:t>
          </a:r>
          <a:r>
            <a:rPr lang="en-US" sz="1300" baseline="0">
              <a:solidFill>
                <a:schemeClr val="dk1"/>
              </a:solidFill>
              <a:effectLst/>
              <a:latin typeface="+mn-lt"/>
              <a:ea typeface="+mn-ea"/>
              <a:cs typeface="+mn-cs"/>
            </a:rPr>
            <a:t>adjusted credibility-weighted experience which are applied in Columns 13-14 </a:t>
          </a:r>
          <a:r>
            <a:rPr lang="en-US" sz="1300" b="1" u="sng" baseline="0">
              <a:solidFill>
                <a:schemeClr val="dk1"/>
              </a:solidFill>
              <a:effectLst/>
              <a:latin typeface="+mn-lt"/>
              <a:ea typeface="+mn-ea"/>
              <a:cs typeface="+mn-cs"/>
            </a:rPr>
            <a:t>to adjust each subgroups' </a:t>
          </a:r>
          <a:r>
            <a:rPr lang="en-US" sz="1300" b="1" u="sng" baseline="0"/>
            <a:t>segment experience</a:t>
          </a:r>
          <a:r>
            <a:rPr lang="en-US" sz="1300" baseline="0"/>
            <a:t>. </a:t>
          </a:r>
          <a:r>
            <a:rPr lang="en-US" sz="1300">
              <a:solidFill>
                <a:schemeClr val="dk1"/>
              </a:solidFill>
              <a:effectLst/>
              <a:latin typeface="+mn-lt"/>
              <a:ea typeface="+mn-ea"/>
              <a:cs typeface="+mn-cs"/>
            </a:rPr>
            <a:t>Column 12 shows the selected base segment and Column 13 shows the segments’ external relativities based on the expected relationship between the segment and its subgroup’s base </a:t>
          </a:r>
          <a:r>
            <a:rPr lang="en-US" sz="1300">
              <a:solidFill>
                <a:sysClr val="windowText" lastClr="000000"/>
              </a:solidFill>
              <a:effectLst/>
              <a:latin typeface="+mn-lt"/>
              <a:ea typeface="+mn-ea"/>
              <a:cs typeface="+mn-cs"/>
            </a:rPr>
            <a:t>segment. Column 14 is a derived theoretical, imputed "actual" A’ that would result for the segment if the expected relativity structure from Column 13 held </a:t>
          </a:r>
          <a:r>
            <a:rPr lang="en-US" sz="1300" b="1" u="sng">
              <a:solidFill>
                <a:sysClr val="windowText" lastClr="000000"/>
              </a:solidFill>
              <a:effectLst/>
              <a:latin typeface="+mn-lt"/>
              <a:ea typeface="+mn-ea"/>
              <a:cs typeface="+mn-cs"/>
            </a:rPr>
            <a:t>applied to the adjusted experience</a:t>
          </a:r>
          <a:r>
            <a:rPr lang="en-US" sz="1300">
              <a:solidFill>
                <a:sysClr val="windowText" lastClr="000000"/>
              </a:solidFill>
              <a:effectLst/>
              <a:latin typeface="+mn-lt"/>
              <a:ea typeface="+mn-ea"/>
              <a:cs typeface="+mn-cs"/>
            </a:rPr>
            <a:t>. Column 15 calculates the subgroup’s normalization ratio comparing the </a:t>
          </a:r>
          <a:r>
            <a:rPr lang="en-US" sz="1300" b="1" u="sng">
              <a:solidFill>
                <a:sysClr val="windowText" lastClr="000000"/>
              </a:solidFill>
              <a:effectLst/>
              <a:latin typeface="+mn-lt"/>
              <a:ea typeface="+mn-ea"/>
              <a:cs typeface="+mn-cs"/>
            </a:rPr>
            <a:t>subgroup’s adjusted credibility-weighted and normalized experience in Column 11</a:t>
          </a:r>
          <a:r>
            <a:rPr lang="en-US" sz="1300">
              <a:solidFill>
                <a:sysClr val="windowText" lastClr="000000"/>
              </a:solidFill>
              <a:effectLst/>
              <a:latin typeface="+mn-lt"/>
              <a:ea typeface="+mn-ea"/>
              <a:cs typeface="+mn-cs"/>
            </a:rPr>
            <a:t> to the subgroup’s relativity-based total in Column 14: Column 15's ratio conserves each</a:t>
          </a:r>
          <a:r>
            <a:rPr lang="en-US" sz="1300" baseline="0">
              <a:solidFill>
                <a:sysClr val="windowText" lastClr="000000"/>
              </a:solidFill>
              <a:effectLst/>
              <a:latin typeface="+mn-lt"/>
              <a:ea typeface="+mn-ea"/>
              <a:cs typeface="+mn-cs"/>
            </a:rPr>
            <a:t> subgroups' normalized </a:t>
          </a:r>
          <a:r>
            <a:rPr lang="en-US" sz="1300">
              <a:solidFill>
                <a:sysClr val="windowText" lastClr="000000"/>
              </a:solidFill>
              <a:effectLst/>
              <a:latin typeface="+mn-lt"/>
              <a:ea typeface="+mn-ea"/>
              <a:cs typeface="+mn-cs"/>
            </a:rPr>
            <a:t>deaths determined in Step 1. Column 16 applies the normalization ratio to obtain the normalized Relativity-Based </a:t>
          </a:r>
          <a:r>
            <a:rPr lang="en-US" sz="1300">
              <a:solidFill>
                <a:schemeClr val="dk1"/>
              </a:solidFill>
              <a:effectLst/>
              <a:latin typeface="+mn-lt"/>
              <a:ea typeface="+mn-ea"/>
              <a:cs typeface="+mn-cs"/>
            </a:rPr>
            <a:t>A’s. Column 1 calculates the normalized Relativity-Based  A/E's. Column 18 illustrates the relativities remain unchanged after the relativity-based A’s and A/E ratios are normalized. The company's anticipated experience assumption shown in Column 19 is equal to the normalized A/E ratios multiplied by the applicable RR tables in Column 3.</a:t>
          </a:r>
          <a:endParaRPr lang="en-US" sz="13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3"/>
  <sheetViews>
    <sheetView tabSelected="1" workbookViewId="0"/>
  </sheetViews>
  <sheetFormatPr defaultRowHeight="15" x14ac:dyDescent="0.25"/>
  <cols>
    <col min="1" max="1" width="11.5703125" customWidth="1"/>
    <col min="2" max="2" width="23.28515625" customWidth="1"/>
    <col min="3" max="3" width="17.42578125" customWidth="1"/>
    <col min="4" max="4" width="23" customWidth="1"/>
    <col min="5" max="5" width="21.5703125" customWidth="1"/>
    <col min="6" max="6" width="18" customWidth="1"/>
    <col min="7" max="7" width="11.7109375" customWidth="1"/>
    <col min="8" max="8" width="12.42578125" customWidth="1"/>
    <col min="9" max="9" width="13.140625" customWidth="1"/>
    <col min="10" max="10" width="11.5703125" customWidth="1"/>
    <col min="11" max="11" width="13.140625" customWidth="1"/>
    <col min="12" max="12" width="13.5703125" customWidth="1"/>
    <col min="13" max="13" width="14.140625" customWidth="1"/>
    <col min="14" max="14" width="13.28515625" customWidth="1"/>
    <col min="15" max="15" width="13.5703125" customWidth="1"/>
    <col min="16" max="17" width="13.28515625" customWidth="1"/>
    <col min="18" max="18" width="12" customWidth="1"/>
    <col min="19" max="19" width="16.85546875" customWidth="1"/>
    <col min="20" max="20" width="10.42578125" customWidth="1"/>
    <col min="21" max="21" width="35.85546875" customWidth="1"/>
    <col min="22" max="37" width="13.28515625" customWidth="1"/>
    <col min="38" max="39" width="15" customWidth="1"/>
    <col min="40" max="40" width="14.7109375" customWidth="1"/>
    <col min="41" max="41" width="16.140625" customWidth="1"/>
    <col min="42" max="42" width="14.85546875" customWidth="1"/>
    <col min="43" max="43" width="7" customWidth="1"/>
    <col min="44" max="44" width="3.28515625" customWidth="1"/>
    <col min="45" max="45" width="39.85546875" customWidth="1"/>
    <col min="46" max="46" width="23.7109375" customWidth="1"/>
  </cols>
  <sheetData>
    <row r="1" spans="1:1" ht="18.75" x14ac:dyDescent="0.3">
      <c r="A1" s="118" t="s">
        <v>320</v>
      </c>
    </row>
    <row r="2" spans="1:1" ht="17.25" x14ac:dyDescent="0.3">
      <c r="A2" s="299"/>
    </row>
    <row r="9" spans="1:1" ht="17.25" x14ac:dyDescent="0.3">
      <c r="A9" s="299"/>
    </row>
    <row r="10" spans="1:1" ht="17.25" x14ac:dyDescent="0.3">
      <c r="A10" s="299"/>
    </row>
    <row r="11" spans="1:1" ht="17.25" x14ac:dyDescent="0.3">
      <c r="A11" s="299"/>
    </row>
    <row r="12" spans="1:1" ht="17.25" x14ac:dyDescent="0.3">
      <c r="A12" s="299"/>
    </row>
    <row r="13" spans="1:1" ht="17.25" x14ac:dyDescent="0.3">
      <c r="A13" s="299"/>
    </row>
    <row r="14" spans="1:1" ht="17.25" x14ac:dyDescent="0.3">
      <c r="A14" s="299"/>
    </row>
    <row r="15" spans="1:1" ht="17.25" x14ac:dyDescent="0.3">
      <c r="A15" s="299"/>
    </row>
    <row r="16" spans="1:1" ht="17.25" x14ac:dyDescent="0.3">
      <c r="A16" s="299"/>
    </row>
    <row r="17" spans="1:48" ht="17.25" x14ac:dyDescent="0.3">
      <c r="A17" s="299"/>
    </row>
    <row r="18" spans="1:48" ht="17.25" x14ac:dyDescent="0.3">
      <c r="A18" s="299"/>
    </row>
    <row r="19" spans="1:48" ht="17.25" x14ac:dyDescent="0.3">
      <c r="A19" s="299"/>
    </row>
    <row r="20" spans="1:48" ht="17.25" x14ac:dyDescent="0.3">
      <c r="A20" s="299"/>
    </row>
    <row r="21" spans="1:48" ht="17.25" x14ac:dyDescent="0.3">
      <c r="A21" s="299"/>
    </row>
    <row r="22" spans="1:48" ht="17.25" x14ac:dyDescent="0.3">
      <c r="A22" s="299"/>
    </row>
    <row r="23" spans="1:48" ht="17.25" x14ac:dyDescent="0.3">
      <c r="A23" s="299"/>
    </row>
    <row r="24" spans="1:48" ht="17.25" x14ac:dyDescent="0.3">
      <c r="A24" s="299"/>
    </row>
    <row r="25" spans="1:48" ht="17.25" x14ac:dyDescent="0.3">
      <c r="A25" s="299"/>
    </row>
    <row r="26" spans="1:48" ht="17.25" x14ac:dyDescent="0.3">
      <c r="A26" s="299"/>
    </row>
    <row r="27" spans="1:48" ht="17.25" x14ac:dyDescent="0.3">
      <c r="A27" s="299"/>
    </row>
    <row r="28" spans="1:48" ht="17.25" x14ac:dyDescent="0.3">
      <c r="A28" s="299"/>
    </row>
    <row r="30" spans="1:48" ht="14.45" customHeight="1" x14ac:dyDescent="0.25">
      <c r="A30" s="291" t="s">
        <v>289</v>
      </c>
      <c r="I30" s="291" t="s">
        <v>284</v>
      </c>
    </row>
    <row r="31" spans="1:48" ht="16.899999999999999" customHeight="1" x14ac:dyDescent="0.25">
      <c r="A31" s="95" t="s">
        <v>81</v>
      </c>
      <c r="B31" s="283"/>
      <c r="C31" s="70"/>
      <c r="D31" s="69" t="s">
        <v>39</v>
      </c>
      <c r="E31" s="69"/>
      <c r="F31" s="24"/>
      <c r="G31" s="301"/>
      <c r="H31" s="351" t="s">
        <v>288</v>
      </c>
      <c r="I31" s="3" t="s">
        <v>303</v>
      </c>
      <c r="J31" s="344"/>
      <c r="K31" s="344"/>
      <c r="L31" s="364"/>
      <c r="M31" s="303" t="s">
        <v>163</v>
      </c>
      <c r="N31" s="305"/>
      <c r="Q31" s="69"/>
      <c r="S31" s="72"/>
      <c r="T31" s="67" t="s">
        <v>294</v>
      </c>
      <c r="U31" s="72"/>
      <c r="X31" s="317"/>
      <c r="AR31" s="317"/>
      <c r="AS31" s="317"/>
      <c r="AT31" s="317"/>
      <c r="AU31" s="317"/>
      <c r="AV31" s="317"/>
    </row>
    <row r="32" spans="1:48" ht="16.899999999999999" customHeight="1" x14ac:dyDescent="0.25">
      <c r="A32" s="116" t="s">
        <v>80</v>
      </c>
      <c r="B32" s="283"/>
      <c r="C32" s="70"/>
      <c r="D32" s="5"/>
      <c r="E32" s="5"/>
      <c r="G32" s="301"/>
      <c r="H32" s="352"/>
      <c r="I32" s="371" t="s">
        <v>304</v>
      </c>
      <c r="J32" s="344"/>
      <c r="K32" s="344"/>
      <c r="L32" s="364"/>
      <c r="M32" s="303" t="s">
        <v>313</v>
      </c>
      <c r="Q32" s="5"/>
      <c r="S32" s="10"/>
      <c r="T32" s="3"/>
      <c r="U32" s="10"/>
      <c r="X32" s="317"/>
      <c r="AR32" s="317"/>
      <c r="AS32" s="317"/>
      <c r="AT32" s="317"/>
      <c r="AU32" s="317"/>
      <c r="AV32" s="317"/>
    </row>
    <row r="33" spans="1:48" ht="16.899999999999999" customHeight="1" x14ac:dyDescent="0.25">
      <c r="A33" s="96"/>
      <c r="B33" s="283"/>
      <c r="C33" s="9"/>
      <c r="D33" s="5"/>
      <c r="E33" s="5"/>
      <c r="G33" s="301"/>
      <c r="H33" s="353"/>
      <c r="L33" s="365"/>
      <c r="M33" s="301"/>
      <c r="Q33" s="5"/>
      <c r="S33" s="10"/>
      <c r="T33" s="3"/>
      <c r="U33" s="10"/>
      <c r="X33" s="317"/>
      <c r="AR33" s="317"/>
      <c r="AS33" s="317"/>
      <c r="AT33" s="317"/>
      <c r="AU33" s="317"/>
      <c r="AV33" s="317"/>
    </row>
    <row r="34" spans="1:48" ht="14.45" customHeight="1" x14ac:dyDescent="0.25">
      <c r="A34" s="37" t="s">
        <v>6</v>
      </c>
      <c r="B34" s="399" t="s">
        <v>7</v>
      </c>
      <c r="C34" s="400"/>
      <c r="D34" s="42" t="s">
        <v>8</v>
      </c>
      <c r="E34" s="37" t="s">
        <v>9</v>
      </c>
      <c r="F34" s="41" t="s">
        <v>10</v>
      </c>
      <c r="G34" s="311" t="s">
        <v>11</v>
      </c>
      <c r="H34" s="354" t="s">
        <v>12</v>
      </c>
      <c r="I34" s="289" t="s">
        <v>13</v>
      </c>
      <c r="J34" s="289" t="s">
        <v>14</v>
      </c>
      <c r="K34" s="289" t="s">
        <v>25</v>
      </c>
      <c r="L34" s="366" t="s">
        <v>26</v>
      </c>
      <c r="M34" s="311" t="s">
        <v>35</v>
      </c>
      <c r="N34" s="311" t="s">
        <v>36</v>
      </c>
      <c r="O34" s="289" t="s">
        <v>37</v>
      </c>
      <c r="P34" s="289" t="s">
        <v>168</v>
      </c>
      <c r="Q34" s="289" t="s">
        <v>261</v>
      </c>
      <c r="R34" s="289" t="s">
        <v>262</v>
      </c>
      <c r="S34" s="290" t="s">
        <v>263</v>
      </c>
      <c r="T34" s="405" t="s">
        <v>286</v>
      </c>
      <c r="U34" s="406"/>
      <c r="X34" s="317"/>
      <c r="AR34" s="317"/>
      <c r="AS34" s="317"/>
      <c r="AT34" s="317"/>
      <c r="AU34" s="317"/>
      <c r="AV34" s="317"/>
    </row>
    <row r="35" spans="1:48" ht="91.15" customHeight="1" x14ac:dyDescent="0.25">
      <c r="A35" s="35"/>
      <c r="B35" s="397" t="s">
        <v>42</v>
      </c>
      <c r="C35" s="398"/>
      <c r="D35" s="44"/>
      <c r="E35" s="36" t="s">
        <v>264</v>
      </c>
      <c r="F35" s="307"/>
      <c r="G35" s="302" t="s">
        <v>176</v>
      </c>
      <c r="H35" s="355" t="s">
        <v>287</v>
      </c>
      <c r="I35" s="325" t="s">
        <v>277</v>
      </c>
      <c r="J35" s="325" t="s">
        <v>276</v>
      </c>
      <c r="K35" s="330" t="s">
        <v>302</v>
      </c>
      <c r="L35" s="367" t="s">
        <v>301</v>
      </c>
      <c r="M35" s="302" t="s">
        <v>210</v>
      </c>
      <c r="N35" s="86" t="s">
        <v>181</v>
      </c>
      <c r="O35" s="7" t="s">
        <v>300</v>
      </c>
      <c r="P35" s="336" t="s">
        <v>318</v>
      </c>
      <c r="Q35" s="336" t="s">
        <v>299</v>
      </c>
      <c r="R35" s="336" t="s">
        <v>298</v>
      </c>
      <c r="S35" s="191" t="s">
        <v>214</v>
      </c>
      <c r="T35" s="403" t="s">
        <v>297</v>
      </c>
      <c r="U35" s="404"/>
      <c r="V35" s="313" t="s">
        <v>271</v>
      </c>
      <c r="W35" s="312"/>
      <c r="X35" s="317"/>
      <c r="AR35" s="317"/>
      <c r="AS35" s="317"/>
      <c r="AT35" s="317"/>
      <c r="AU35" s="317"/>
      <c r="AV35" s="317"/>
    </row>
    <row r="36" spans="1:48" ht="58.15" customHeight="1" x14ac:dyDescent="0.25">
      <c r="A36" s="284" t="s">
        <v>43</v>
      </c>
      <c r="B36" s="266" t="s">
        <v>257</v>
      </c>
      <c r="C36" s="306" t="s">
        <v>258</v>
      </c>
      <c r="D36" s="45" t="s">
        <v>90</v>
      </c>
      <c r="E36" s="16" t="s">
        <v>217</v>
      </c>
      <c r="F36" s="273" t="s">
        <v>24</v>
      </c>
      <c r="G36" s="266" t="s">
        <v>23</v>
      </c>
      <c r="H36" s="356" t="s">
        <v>221</v>
      </c>
      <c r="I36" s="320" t="s">
        <v>285</v>
      </c>
      <c r="J36" s="320" t="s">
        <v>295</v>
      </c>
      <c r="K36" s="321" t="s">
        <v>306</v>
      </c>
      <c r="L36" s="368" t="s">
        <v>307</v>
      </c>
      <c r="M36" s="266" t="s">
        <v>206</v>
      </c>
      <c r="N36" s="213" t="s">
        <v>309</v>
      </c>
      <c r="O36" s="310" t="s">
        <v>305</v>
      </c>
      <c r="P36" s="45" t="s">
        <v>268</v>
      </c>
      <c r="Q36" s="310" t="s">
        <v>310</v>
      </c>
      <c r="R36" s="310" t="s">
        <v>275</v>
      </c>
      <c r="S36" s="55" t="s">
        <v>209</v>
      </c>
      <c r="T36" s="401" t="s">
        <v>60</v>
      </c>
      <c r="U36" s="402"/>
      <c r="V36" s="312" t="s">
        <v>272</v>
      </c>
      <c r="W36" s="312" t="s">
        <v>273</v>
      </c>
      <c r="X36" s="317"/>
      <c r="AR36" s="317"/>
      <c r="AS36" s="317"/>
      <c r="AT36" s="317"/>
      <c r="AU36" s="317"/>
      <c r="AV36" s="317"/>
    </row>
    <row r="37" spans="1:48" ht="14.45" customHeight="1" x14ac:dyDescent="0.25">
      <c r="A37" s="285" t="s">
        <v>0</v>
      </c>
      <c r="B37" s="301" t="s">
        <v>27</v>
      </c>
      <c r="C37" s="233" t="s">
        <v>259</v>
      </c>
      <c r="D37" s="331" t="s">
        <v>68</v>
      </c>
      <c r="E37" s="270">
        <v>18</v>
      </c>
      <c r="F37" s="345">
        <v>15</v>
      </c>
      <c r="G37" s="348">
        <f t="shared" ref="G37:G61" si="0">F37/E37</f>
        <v>0.83333333333333337</v>
      </c>
      <c r="H37" s="357" t="s">
        <v>245</v>
      </c>
      <c r="I37" s="265">
        <f t="shared" ref="I37:I60" si="1">VLOOKUP($B37,$B$71:$R$82,17,FALSE)</f>
        <v>0.78376512190041314</v>
      </c>
      <c r="J37" s="324">
        <f t="shared" ref="J37:J60" si="2">VLOOKUP(B37,$B$71:$R$82,16,FALSE)</f>
        <v>63.794622397541573</v>
      </c>
      <c r="K37" s="383">
        <f>E37*J37/SUM(E37:E38)</f>
        <v>17.942237549308569</v>
      </c>
      <c r="L37" s="369">
        <f>K37*I37</f>
        <v>14.0625</v>
      </c>
      <c r="M37" s="304" t="s">
        <v>0</v>
      </c>
      <c r="N37" s="200">
        <v>1</v>
      </c>
      <c r="O37" s="318">
        <f t="shared" ref="O37:O60" si="3">N37*L37</f>
        <v>14.0625</v>
      </c>
      <c r="P37" s="326">
        <f>SUM(L37:L38)/SUM(O37:O38)</f>
        <v>1.0610079575596818</v>
      </c>
      <c r="Q37" s="326">
        <f>O37*P37</f>
        <v>14.920424403183025</v>
      </c>
      <c r="R37" s="317">
        <f t="shared" ref="R37:R61" si="4">+Q37/K37</f>
        <v>0.83158103119407234</v>
      </c>
      <c r="S37" s="203">
        <f>+R37/R37</f>
        <v>1</v>
      </c>
      <c r="T37" s="317">
        <f t="shared" ref="T37:T60" si="5">R37</f>
        <v>0.83158103119407234</v>
      </c>
      <c r="U37" s="108" t="str">
        <f t="shared" ref="U37:U60" si="6">"of 2015 VBT "&amp;D37&amp;" ALB"</f>
        <v>of 2015 VBT MNS RR 70 ALB</v>
      </c>
      <c r="V37" s="314">
        <v>0.83158103119407234</v>
      </c>
      <c r="W37" s="315" t="b">
        <f t="shared" ref="W37:W60" si="7">V37=T37</f>
        <v>1</v>
      </c>
      <c r="X37" s="317"/>
      <c r="AR37" s="317"/>
      <c r="AS37" s="317"/>
      <c r="AT37" s="317"/>
      <c r="AU37" s="317"/>
      <c r="AV37" s="317"/>
    </row>
    <row r="38" spans="1:48" ht="14.45" customHeight="1" x14ac:dyDescent="0.25">
      <c r="A38" s="285" t="s">
        <v>1</v>
      </c>
      <c r="B38" s="301" t="s">
        <v>27</v>
      </c>
      <c r="C38" s="233" t="s">
        <v>260</v>
      </c>
      <c r="D38" s="331" t="s">
        <v>68</v>
      </c>
      <c r="E38" s="270">
        <v>46</v>
      </c>
      <c r="F38" s="345">
        <v>35</v>
      </c>
      <c r="G38" s="348">
        <f t="shared" si="0"/>
        <v>0.76086956521739135</v>
      </c>
      <c r="H38" s="357" t="s">
        <v>245</v>
      </c>
      <c r="I38" s="265">
        <f t="shared" si="1"/>
        <v>0.78376512190041314</v>
      </c>
      <c r="J38" s="322">
        <f t="shared" si="2"/>
        <v>63.794622397541573</v>
      </c>
      <c r="K38" s="384">
        <f>E38*J38/SUM(E37:E38)</f>
        <v>45.852384848233008</v>
      </c>
      <c r="L38" s="372">
        <f t="shared" ref="L38:L60" si="8">K38*I38</f>
        <v>35.9375</v>
      </c>
      <c r="M38" s="304" t="s">
        <v>0</v>
      </c>
      <c r="N38" s="272">
        <v>0.92</v>
      </c>
      <c r="O38" s="318">
        <f t="shared" si="3"/>
        <v>33.0625</v>
      </c>
      <c r="P38" s="326">
        <f>+P37</f>
        <v>1.0610079575596818</v>
      </c>
      <c r="Q38" s="326">
        <f t="shared" ref="Q38:Q60" si="9">O38*P38</f>
        <v>35.07957559681698</v>
      </c>
      <c r="R38" s="317">
        <f t="shared" si="4"/>
        <v>0.76505454869854661</v>
      </c>
      <c r="S38" s="203">
        <f>+R38/R37</f>
        <v>0.92</v>
      </c>
      <c r="T38" s="317">
        <f t="shared" si="5"/>
        <v>0.76505454869854661</v>
      </c>
      <c r="U38" s="108" t="str">
        <f t="shared" si="6"/>
        <v>of 2015 VBT MNS RR 70 ALB</v>
      </c>
      <c r="V38" s="314">
        <v>0.76505454869854661</v>
      </c>
      <c r="W38" s="315" t="b">
        <f t="shared" si="7"/>
        <v>1</v>
      </c>
      <c r="X38" s="317"/>
      <c r="AR38" s="317"/>
      <c r="AS38" s="317"/>
      <c r="AT38" s="317"/>
      <c r="AU38" s="317"/>
      <c r="AV38" s="317"/>
    </row>
    <row r="39" spans="1:48" ht="14.45" customHeight="1" x14ac:dyDescent="0.25">
      <c r="A39" s="285" t="s">
        <v>4</v>
      </c>
      <c r="B39" s="301" t="s">
        <v>28</v>
      </c>
      <c r="C39" s="233" t="s">
        <v>259</v>
      </c>
      <c r="D39" s="331" t="s">
        <v>69</v>
      </c>
      <c r="E39" s="270">
        <v>131</v>
      </c>
      <c r="F39" s="345">
        <v>120</v>
      </c>
      <c r="G39" s="348">
        <f t="shared" si="0"/>
        <v>0.91603053435114501</v>
      </c>
      <c r="H39" s="357" t="s">
        <v>246</v>
      </c>
      <c r="I39" s="265">
        <f t="shared" si="1"/>
        <v>0.83101490451309523</v>
      </c>
      <c r="J39" s="324">
        <f t="shared" si="2"/>
        <v>361.00435548237817</v>
      </c>
      <c r="K39" s="383">
        <f>E39*J39/SUM(E39:E40)</f>
        <v>137.8762990326284</v>
      </c>
      <c r="L39" s="369">
        <f t="shared" si="8"/>
        <v>114.57725947521865</v>
      </c>
      <c r="M39" s="304" t="s">
        <v>4</v>
      </c>
      <c r="N39" s="272">
        <v>1</v>
      </c>
      <c r="O39" s="318">
        <f t="shared" si="3"/>
        <v>114.57725947521865</v>
      </c>
      <c r="P39" s="326">
        <f>SUM(L39:L40)/SUM(O39:O40)</f>
        <v>1.0318892900120338</v>
      </c>
      <c r="Q39" s="326">
        <f t="shared" si="9"/>
        <v>118.23104693140795</v>
      </c>
      <c r="R39" s="317">
        <f t="shared" si="4"/>
        <v>0.85751537980743586</v>
      </c>
      <c r="S39" s="203">
        <f>+R39/R39</f>
        <v>1</v>
      </c>
      <c r="T39" s="317">
        <f t="shared" si="5"/>
        <v>0.85751537980743586</v>
      </c>
      <c r="U39" s="108" t="str">
        <f t="shared" si="6"/>
        <v>of 2015 VBT MNS RR 80 ALB</v>
      </c>
      <c r="V39" s="314">
        <v>0.85751537980743586</v>
      </c>
      <c r="W39" s="315" t="b">
        <f t="shared" si="7"/>
        <v>1</v>
      </c>
      <c r="X39" s="317"/>
      <c r="AR39" s="317"/>
      <c r="AS39" s="317"/>
      <c r="AT39" s="317"/>
      <c r="AU39" s="317"/>
      <c r="AV39" s="317"/>
    </row>
    <row r="40" spans="1:48" ht="14.45" customHeight="1" x14ac:dyDescent="0.25">
      <c r="A40" s="285" t="s">
        <v>5</v>
      </c>
      <c r="B40" s="301" t="s">
        <v>28</v>
      </c>
      <c r="C40" s="233" t="s">
        <v>260</v>
      </c>
      <c r="D40" s="331" t="s">
        <v>69</v>
      </c>
      <c r="E40" s="270">
        <v>212</v>
      </c>
      <c r="F40" s="345">
        <v>180</v>
      </c>
      <c r="G40" s="348">
        <f t="shared" si="0"/>
        <v>0.84905660377358494</v>
      </c>
      <c r="H40" s="357" t="s">
        <v>246</v>
      </c>
      <c r="I40" s="265">
        <f t="shared" si="1"/>
        <v>0.83101490451309523</v>
      </c>
      <c r="J40" s="324">
        <f t="shared" si="2"/>
        <v>361.00435548237817</v>
      </c>
      <c r="K40" s="383">
        <f>E40*J40/SUM(E39:E40)</f>
        <v>223.12805644974978</v>
      </c>
      <c r="L40" s="369">
        <f t="shared" si="8"/>
        <v>185.42274052478135</v>
      </c>
      <c r="M40" s="304" t="s">
        <v>4</v>
      </c>
      <c r="N40" s="272">
        <v>0.95</v>
      </c>
      <c r="O40" s="318">
        <f t="shared" si="3"/>
        <v>176.15160349854227</v>
      </c>
      <c r="P40" s="326">
        <f>+P39</f>
        <v>1.0318892900120338</v>
      </c>
      <c r="Q40" s="326">
        <f t="shared" si="9"/>
        <v>181.76895306859208</v>
      </c>
      <c r="R40" s="317">
        <f t="shared" si="4"/>
        <v>0.81463961081706415</v>
      </c>
      <c r="S40" s="203">
        <f>+R40/R39</f>
        <v>0.95000000000000007</v>
      </c>
      <c r="T40" s="317">
        <f t="shared" si="5"/>
        <v>0.81463961081706415</v>
      </c>
      <c r="U40" s="108" t="str">
        <f t="shared" si="6"/>
        <v>of 2015 VBT MNS RR 80 ALB</v>
      </c>
      <c r="V40" s="314">
        <v>0.81463961081706415</v>
      </c>
      <c r="W40" s="315" t="b">
        <f t="shared" si="7"/>
        <v>1</v>
      </c>
      <c r="X40" s="317"/>
      <c r="AR40" s="317"/>
      <c r="AS40" s="317"/>
      <c r="AT40" s="317"/>
      <c r="AU40" s="317"/>
      <c r="AV40" s="317"/>
    </row>
    <row r="41" spans="1:48" ht="14.45" customHeight="1" x14ac:dyDescent="0.25">
      <c r="A41" s="285" t="s">
        <v>15</v>
      </c>
      <c r="B41" s="301" t="s">
        <v>29</v>
      </c>
      <c r="C41" s="233" t="s">
        <v>259</v>
      </c>
      <c r="D41" s="331" t="s">
        <v>70</v>
      </c>
      <c r="E41" s="270">
        <v>245</v>
      </c>
      <c r="F41" s="345">
        <v>200</v>
      </c>
      <c r="G41" s="348">
        <f t="shared" si="0"/>
        <v>0.81632653061224492</v>
      </c>
      <c r="H41" s="357" t="s">
        <v>247</v>
      </c>
      <c r="I41" s="265">
        <f t="shared" si="1"/>
        <v>0.80173487092951479</v>
      </c>
      <c r="J41" s="324">
        <f t="shared" si="2"/>
        <v>498.91805196928544</v>
      </c>
      <c r="K41" s="383">
        <f>E41*J41/SUM(E41:E42)</f>
        <v>239.6763190832842</v>
      </c>
      <c r="L41" s="369">
        <f t="shared" si="8"/>
        <v>192.15686274509807</v>
      </c>
      <c r="M41" s="304" t="s">
        <v>15</v>
      </c>
      <c r="N41" s="272">
        <v>1</v>
      </c>
      <c r="O41" s="318">
        <f t="shared" si="3"/>
        <v>192.15686274509807</v>
      </c>
      <c r="P41" s="326">
        <f>SUM(L41:L42)/SUM(O41:O42)</f>
        <v>1.0158350761876307</v>
      </c>
      <c r="Q41" s="326">
        <f t="shared" si="9"/>
        <v>195.19968130664279</v>
      </c>
      <c r="R41" s="317">
        <f t="shared" si="4"/>
        <v>0.81443040369296393</v>
      </c>
      <c r="S41" s="203">
        <f>+R41/R41</f>
        <v>1</v>
      </c>
      <c r="T41" s="317">
        <f t="shared" si="5"/>
        <v>0.81443040369296393</v>
      </c>
      <c r="U41" s="108" t="str">
        <f t="shared" si="6"/>
        <v>of 2015 VBT MNS RR 90 ALB</v>
      </c>
      <c r="V41" s="314">
        <v>0.81443040369296393</v>
      </c>
      <c r="W41" s="315" t="b">
        <f t="shared" si="7"/>
        <v>1</v>
      </c>
      <c r="X41" s="317"/>
      <c r="AR41" s="317"/>
      <c r="AS41" s="317"/>
      <c r="AT41" s="317"/>
      <c r="AU41" s="317"/>
      <c r="AV41" s="317"/>
    </row>
    <row r="42" spans="1:48" ht="14.45" customHeight="1" x14ac:dyDescent="0.25">
      <c r="A42" s="285" t="s">
        <v>16</v>
      </c>
      <c r="B42" s="301" t="s">
        <v>29</v>
      </c>
      <c r="C42" s="233" t="s">
        <v>260</v>
      </c>
      <c r="D42" s="331" t="s">
        <v>70</v>
      </c>
      <c r="E42" s="270">
        <v>265</v>
      </c>
      <c r="F42" s="345">
        <v>200</v>
      </c>
      <c r="G42" s="348">
        <f t="shared" si="0"/>
        <v>0.75471698113207553</v>
      </c>
      <c r="H42" s="357" t="s">
        <v>247</v>
      </c>
      <c r="I42" s="265">
        <f t="shared" si="1"/>
        <v>0.80173487092951479</v>
      </c>
      <c r="J42" s="324">
        <f t="shared" si="2"/>
        <v>498.91805196928544</v>
      </c>
      <c r="K42" s="383">
        <f>E42*J42/SUM(E41:E42)</f>
        <v>259.24173288600127</v>
      </c>
      <c r="L42" s="369">
        <f t="shared" si="8"/>
        <v>207.84313725490199</v>
      </c>
      <c r="M42" s="304" t="s">
        <v>15</v>
      </c>
      <c r="N42" s="272">
        <v>0.97</v>
      </c>
      <c r="O42" s="318">
        <f t="shared" si="3"/>
        <v>201.60784313725492</v>
      </c>
      <c r="P42" s="326">
        <f>+P41</f>
        <v>1.0158350761876307</v>
      </c>
      <c r="Q42" s="326">
        <f t="shared" si="9"/>
        <v>204.80031869335724</v>
      </c>
      <c r="R42" s="317">
        <f t="shared" si="4"/>
        <v>0.78999749158217492</v>
      </c>
      <c r="S42" s="203">
        <f>+R42/R41</f>
        <v>0.96999999999999986</v>
      </c>
      <c r="T42" s="317">
        <f t="shared" si="5"/>
        <v>0.78999749158217492</v>
      </c>
      <c r="U42" s="108" t="str">
        <f t="shared" si="6"/>
        <v>of 2015 VBT MNS RR 90 ALB</v>
      </c>
      <c r="V42" s="314">
        <v>0.78999749158217492</v>
      </c>
      <c r="W42" s="315" t="b">
        <f t="shared" si="7"/>
        <v>1</v>
      </c>
      <c r="X42" s="317"/>
      <c r="AR42" s="317"/>
      <c r="AS42" s="317"/>
      <c r="AT42" s="317"/>
      <c r="AU42" s="317"/>
      <c r="AV42" s="317"/>
    </row>
    <row r="43" spans="1:48" ht="14.45" customHeight="1" x14ac:dyDescent="0.25">
      <c r="A43" s="285" t="s">
        <v>17</v>
      </c>
      <c r="B43" s="301" t="s">
        <v>296</v>
      </c>
      <c r="C43" s="233" t="s">
        <v>259</v>
      </c>
      <c r="D43" s="331" t="s">
        <v>71</v>
      </c>
      <c r="E43" s="270">
        <v>297</v>
      </c>
      <c r="F43" s="345">
        <v>250</v>
      </c>
      <c r="G43" s="348">
        <f t="shared" si="0"/>
        <v>0.84175084175084181</v>
      </c>
      <c r="H43" s="357" t="s">
        <v>248</v>
      </c>
      <c r="I43" s="265">
        <f t="shared" si="1"/>
        <v>0.80741084862034873</v>
      </c>
      <c r="J43" s="324">
        <f t="shared" si="2"/>
        <v>619.26341571254284</v>
      </c>
      <c r="K43" s="383">
        <f>E43*J43/SUM(E43:E44)</f>
        <v>298.08952101560004</v>
      </c>
      <c r="L43" s="369">
        <f t="shared" si="8"/>
        <v>240.68071312803892</v>
      </c>
      <c r="M43" s="304" t="s">
        <v>17</v>
      </c>
      <c r="N43" s="272">
        <v>1</v>
      </c>
      <c r="O43" s="318">
        <f t="shared" si="3"/>
        <v>240.68071312803892</v>
      </c>
      <c r="P43" s="326">
        <f>SUM(L43:L44)/SUM(O43:O44)</f>
        <v>1.0158050707935462</v>
      </c>
      <c r="Q43" s="326">
        <f t="shared" si="9"/>
        <v>244.48468883766876</v>
      </c>
      <c r="R43" s="317">
        <f t="shared" si="4"/>
        <v>0.82017203424227059</v>
      </c>
      <c r="S43" s="203">
        <f>+R43/R43</f>
        <v>1</v>
      </c>
      <c r="T43" s="317">
        <f t="shared" si="5"/>
        <v>0.82017203424227059</v>
      </c>
      <c r="U43" s="108" t="str">
        <f t="shared" si="6"/>
        <v>of 2015 VBT MNS RR 110 ALB</v>
      </c>
      <c r="V43" s="314">
        <v>0.82017203424227059</v>
      </c>
      <c r="W43" s="315" t="b">
        <f t="shared" si="7"/>
        <v>1</v>
      </c>
      <c r="X43" s="317"/>
      <c r="AR43" s="317"/>
      <c r="AS43" s="317"/>
      <c r="AT43" s="317"/>
      <c r="AU43" s="317"/>
      <c r="AV43" s="317"/>
    </row>
    <row r="44" spans="1:48" ht="14.45" customHeight="1" x14ac:dyDescent="0.25">
      <c r="A44" s="285" t="s">
        <v>18</v>
      </c>
      <c r="B44" s="301" t="s">
        <v>296</v>
      </c>
      <c r="C44" s="233" t="s">
        <v>260</v>
      </c>
      <c r="D44" s="331" t="s">
        <v>71</v>
      </c>
      <c r="E44" s="270">
        <v>320</v>
      </c>
      <c r="F44" s="345">
        <v>250</v>
      </c>
      <c r="G44" s="348">
        <f t="shared" si="0"/>
        <v>0.78125</v>
      </c>
      <c r="H44" s="357" t="s">
        <v>248</v>
      </c>
      <c r="I44" s="265">
        <f t="shared" si="1"/>
        <v>0.80741084862034873</v>
      </c>
      <c r="J44" s="324">
        <f t="shared" si="2"/>
        <v>619.26341571254284</v>
      </c>
      <c r="K44" s="383">
        <f>E44*J44/SUM(E43:E44)</f>
        <v>321.17389469694285</v>
      </c>
      <c r="L44" s="369">
        <f t="shared" si="8"/>
        <v>259.31928687196114</v>
      </c>
      <c r="M44" s="304" t="s">
        <v>17</v>
      </c>
      <c r="N44" s="272">
        <v>0.97</v>
      </c>
      <c r="O44" s="318">
        <f t="shared" si="3"/>
        <v>251.53970826580229</v>
      </c>
      <c r="P44" s="326">
        <f>+P43</f>
        <v>1.0158050707935462</v>
      </c>
      <c r="Q44" s="326">
        <f t="shared" si="9"/>
        <v>255.51531116233124</v>
      </c>
      <c r="R44" s="317">
        <f t="shared" si="4"/>
        <v>0.7955668732150023</v>
      </c>
      <c r="S44" s="203">
        <f>+R44/R43</f>
        <v>0.96999999999999975</v>
      </c>
      <c r="T44" s="317">
        <f t="shared" si="5"/>
        <v>0.7955668732150023</v>
      </c>
      <c r="U44" s="108" t="str">
        <f t="shared" si="6"/>
        <v>of 2015 VBT MNS RR 110 ALB</v>
      </c>
      <c r="V44" s="314">
        <v>0.7955668732150023</v>
      </c>
      <c r="W44" s="315" t="b">
        <f t="shared" si="7"/>
        <v>1</v>
      </c>
      <c r="X44" s="317"/>
      <c r="AR44" s="317"/>
      <c r="AS44" s="317"/>
      <c r="AT44" s="317"/>
      <c r="AU44" s="317"/>
      <c r="AV44" s="317"/>
    </row>
    <row r="45" spans="1:48" ht="14.45" customHeight="1" x14ac:dyDescent="0.25">
      <c r="A45" s="285" t="s">
        <v>19</v>
      </c>
      <c r="B45" s="301" t="s">
        <v>30</v>
      </c>
      <c r="C45" s="233" t="s">
        <v>259</v>
      </c>
      <c r="D45" s="332" t="s">
        <v>72</v>
      </c>
      <c r="E45" s="270">
        <v>310</v>
      </c>
      <c r="F45" s="345">
        <v>240</v>
      </c>
      <c r="G45" s="348">
        <f t="shared" si="0"/>
        <v>0.77419354838709675</v>
      </c>
      <c r="H45" s="357" t="s">
        <v>249</v>
      </c>
      <c r="I45" s="265">
        <f t="shared" si="1"/>
        <v>0.80408499104435516</v>
      </c>
      <c r="J45" s="324">
        <f t="shared" si="2"/>
        <v>746.18977680545049</v>
      </c>
      <c r="K45" s="383">
        <f>E45*J45/SUM(E45:E46)</f>
        <v>289.14853851211205</v>
      </c>
      <c r="L45" s="369">
        <f t="shared" si="8"/>
        <v>232.5</v>
      </c>
      <c r="M45" s="304" t="s">
        <v>19</v>
      </c>
      <c r="N45" s="272">
        <v>1</v>
      </c>
      <c r="O45" s="318">
        <f t="shared" si="3"/>
        <v>232.5</v>
      </c>
      <c r="P45" s="326">
        <f>SUM(L45:L46)/SUM(O45:O46)</f>
        <v>1.0937927262783704</v>
      </c>
      <c r="Q45" s="326">
        <f t="shared" si="9"/>
        <v>254.30680885972112</v>
      </c>
      <c r="R45" s="317">
        <f t="shared" si="4"/>
        <v>0.87950231451392424</v>
      </c>
      <c r="S45" s="203">
        <f>+R45/R45</f>
        <v>1</v>
      </c>
      <c r="T45" s="317">
        <f t="shared" si="5"/>
        <v>0.87950231451392424</v>
      </c>
      <c r="U45" s="108" t="str">
        <f t="shared" si="6"/>
        <v>of 2015 VBT MSM RR 75 ALB</v>
      </c>
      <c r="V45" s="314">
        <v>0.87950231451392424</v>
      </c>
      <c r="W45" s="315" t="b">
        <f t="shared" si="7"/>
        <v>1</v>
      </c>
      <c r="X45" s="317"/>
      <c r="AR45" s="317"/>
      <c r="AS45" s="317"/>
      <c r="AT45" s="317"/>
      <c r="AU45" s="317"/>
      <c r="AV45" s="317"/>
    </row>
    <row r="46" spans="1:48" ht="14.45" customHeight="1" x14ac:dyDescent="0.25">
      <c r="A46" s="285" t="s">
        <v>20</v>
      </c>
      <c r="B46" s="301" t="s">
        <v>30</v>
      </c>
      <c r="C46" s="233" t="s">
        <v>260</v>
      </c>
      <c r="D46" s="332" t="s">
        <v>72</v>
      </c>
      <c r="E46" s="270">
        <v>490</v>
      </c>
      <c r="F46" s="345">
        <v>360</v>
      </c>
      <c r="G46" s="348">
        <f t="shared" si="0"/>
        <v>0.73469387755102045</v>
      </c>
      <c r="H46" s="357" t="s">
        <v>249</v>
      </c>
      <c r="I46" s="265">
        <f t="shared" si="1"/>
        <v>0.80408499104435516</v>
      </c>
      <c r="J46" s="324">
        <f t="shared" si="2"/>
        <v>746.18977680545049</v>
      </c>
      <c r="K46" s="383">
        <f>E46*J46/SUM(E45:E46)</f>
        <v>457.04123829333838</v>
      </c>
      <c r="L46" s="369">
        <f t="shared" si="8"/>
        <v>367.5</v>
      </c>
      <c r="M46" s="304" t="s">
        <v>19</v>
      </c>
      <c r="N46" s="272">
        <v>0.86</v>
      </c>
      <c r="O46" s="318">
        <f t="shared" si="3"/>
        <v>316.05</v>
      </c>
      <c r="P46" s="326">
        <f>+P45</f>
        <v>1.0937927262783704</v>
      </c>
      <c r="Q46" s="326">
        <f t="shared" si="9"/>
        <v>345.693191140279</v>
      </c>
      <c r="R46" s="317">
        <f t="shared" si="4"/>
        <v>0.75637199048197501</v>
      </c>
      <c r="S46" s="203">
        <f>+R46/R45</f>
        <v>0.86000000000000021</v>
      </c>
      <c r="T46" s="317">
        <f t="shared" si="5"/>
        <v>0.75637199048197501</v>
      </c>
      <c r="U46" s="108" t="str">
        <f t="shared" si="6"/>
        <v>of 2015 VBT MSM RR 75 ALB</v>
      </c>
      <c r="V46" s="314">
        <v>0.75637199048197501</v>
      </c>
      <c r="W46" s="315" t="b">
        <f t="shared" si="7"/>
        <v>1</v>
      </c>
      <c r="X46" s="317"/>
      <c r="AR46" s="317"/>
      <c r="AS46" s="317"/>
      <c r="AT46" s="317"/>
      <c r="AU46" s="317"/>
      <c r="AV46" s="317"/>
    </row>
    <row r="47" spans="1:48" ht="14.45" customHeight="1" x14ac:dyDescent="0.25">
      <c r="A47" s="285" t="s">
        <v>21</v>
      </c>
      <c r="B47" s="301" t="s">
        <v>115</v>
      </c>
      <c r="C47" s="233" t="s">
        <v>259</v>
      </c>
      <c r="D47" s="331" t="s">
        <v>73</v>
      </c>
      <c r="E47" s="270">
        <v>403</v>
      </c>
      <c r="F47" s="345">
        <v>350</v>
      </c>
      <c r="G47" s="348">
        <f t="shared" si="0"/>
        <v>0.86848635235732008</v>
      </c>
      <c r="H47" s="357" t="s">
        <v>250</v>
      </c>
      <c r="I47" s="265">
        <f t="shared" si="1"/>
        <v>0.80723559506301357</v>
      </c>
      <c r="J47" s="324">
        <f t="shared" si="2"/>
        <v>867.15700383028491</v>
      </c>
      <c r="K47" s="383">
        <f>E47*J47/SUM(E47:E48)</f>
        <v>419.52493702713667</v>
      </c>
      <c r="L47" s="369">
        <f t="shared" si="8"/>
        <v>338.65546218487395</v>
      </c>
      <c r="M47" s="304" t="s">
        <v>21</v>
      </c>
      <c r="N47" s="272">
        <v>1</v>
      </c>
      <c r="O47" s="318">
        <f t="shared" si="3"/>
        <v>338.65546218487395</v>
      </c>
      <c r="P47" s="326">
        <f>SUM(L47:L48)/SUM(O47:O48)</f>
        <v>1.0104318292091217</v>
      </c>
      <c r="Q47" s="326">
        <f t="shared" si="9"/>
        <v>342.18825812712271</v>
      </c>
      <c r="R47" s="317">
        <f t="shared" si="4"/>
        <v>0.81565653892223455</v>
      </c>
      <c r="S47" s="203">
        <f>+R47/R47</f>
        <v>1</v>
      </c>
      <c r="T47" s="317">
        <f t="shared" si="5"/>
        <v>0.81565653892223455</v>
      </c>
      <c r="U47" s="108" t="str">
        <f t="shared" si="6"/>
        <v>of 2015 VBT MSM RR 125 ALB</v>
      </c>
      <c r="V47" s="314">
        <v>0.81565653892223455</v>
      </c>
      <c r="W47" s="315" t="b">
        <f t="shared" si="7"/>
        <v>1</v>
      </c>
      <c r="X47" s="317"/>
      <c r="AR47" s="317"/>
      <c r="AS47" s="317"/>
      <c r="AT47" s="317"/>
      <c r="AU47" s="317"/>
      <c r="AV47" s="317"/>
    </row>
    <row r="48" spans="1:48" ht="14.45" customHeight="1" x14ac:dyDescent="0.25">
      <c r="A48" s="285" t="s">
        <v>22</v>
      </c>
      <c r="B48" s="301" t="s">
        <v>115</v>
      </c>
      <c r="C48" s="233" t="s">
        <v>260</v>
      </c>
      <c r="D48" s="331" t="s">
        <v>73</v>
      </c>
      <c r="E48" s="270">
        <v>430</v>
      </c>
      <c r="F48" s="345">
        <v>350</v>
      </c>
      <c r="G48" s="348">
        <f t="shared" si="0"/>
        <v>0.81395348837209303</v>
      </c>
      <c r="H48" s="357" t="s">
        <v>250</v>
      </c>
      <c r="I48" s="265">
        <f t="shared" si="1"/>
        <v>0.80723559506301357</v>
      </c>
      <c r="J48" s="324">
        <f t="shared" si="2"/>
        <v>867.15700383028491</v>
      </c>
      <c r="K48" s="383">
        <f>E48*J48/SUM(E47:E48)</f>
        <v>447.63206680314829</v>
      </c>
      <c r="L48" s="369">
        <f t="shared" si="8"/>
        <v>361.34453781512605</v>
      </c>
      <c r="M48" s="304" t="s">
        <v>21</v>
      </c>
      <c r="N48" s="272">
        <v>0.98</v>
      </c>
      <c r="O48" s="318">
        <f t="shared" si="3"/>
        <v>354.11764705882354</v>
      </c>
      <c r="P48" s="326">
        <f>+P47</f>
        <v>1.0104318292091217</v>
      </c>
      <c r="Q48" s="326">
        <f t="shared" si="9"/>
        <v>357.81174187287723</v>
      </c>
      <c r="R48" s="317">
        <f t="shared" si="4"/>
        <v>0.79934340814379001</v>
      </c>
      <c r="S48" s="203">
        <f>+R48/R47</f>
        <v>0.9800000000000002</v>
      </c>
      <c r="T48" s="317">
        <f t="shared" si="5"/>
        <v>0.79934340814379001</v>
      </c>
      <c r="U48" s="108" t="str">
        <f t="shared" si="6"/>
        <v>of 2015 VBT MSM RR 125 ALB</v>
      </c>
      <c r="V48" s="314">
        <v>0.79934340814379001</v>
      </c>
      <c r="W48" s="315" t="b">
        <f t="shared" si="7"/>
        <v>1</v>
      </c>
      <c r="X48" s="317"/>
      <c r="AR48" s="317"/>
      <c r="AS48" s="317"/>
      <c r="AT48" s="317"/>
      <c r="AU48" s="317"/>
      <c r="AV48" s="317"/>
    </row>
    <row r="49" spans="1:51" ht="14.45" customHeight="1" x14ac:dyDescent="0.25">
      <c r="A49" s="285" t="s">
        <v>177</v>
      </c>
      <c r="B49" s="301" t="s">
        <v>31</v>
      </c>
      <c r="C49" s="233" t="s">
        <v>259</v>
      </c>
      <c r="D49" s="332" t="s">
        <v>74</v>
      </c>
      <c r="E49" s="270">
        <v>12</v>
      </c>
      <c r="F49" s="345">
        <v>10</v>
      </c>
      <c r="G49" s="348">
        <f t="shared" si="0"/>
        <v>0.83333333333333337</v>
      </c>
      <c r="H49" s="357" t="s">
        <v>251</v>
      </c>
      <c r="I49" s="265">
        <f t="shared" si="1"/>
        <v>0.78109331212338284</v>
      </c>
      <c r="J49" s="324">
        <f t="shared" si="2"/>
        <v>32.006419222868672</v>
      </c>
      <c r="K49" s="383">
        <f>E49*J49/SUM(E49:E50)</f>
        <v>12.002407208575752</v>
      </c>
      <c r="L49" s="369">
        <f t="shared" si="8"/>
        <v>9.375</v>
      </c>
      <c r="M49" s="304" t="s">
        <v>177</v>
      </c>
      <c r="N49" s="200">
        <v>1</v>
      </c>
      <c r="O49" s="318">
        <f t="shared" si="3"/>
        <v>9.375</v>
      </c>
      <c r="P49" s="326">
        <f>SUM(L49:L50)/SUM(O49:O50)</f>
        <v>1.0526315789473684</v>
      </c>
      <c r="Q49" s="326">
        <f t="shared" si="9"/>
        <v>9.8684210526315788</v>
      </c>
      <c r="R49" s="317">
        <f t="shared" si="4"/>
        <v>0.8222034864456661</v>
      </c>
      <c r="S49" s="203">
        <f>+R49/R49</f>
        <v>1</v>
      </c>
      <c r="T49" s="317">
        <f t="shared" si="5"/>
        <v>0.8222034864456661</v>
      </c>
      <c r="U49" s="108" t="str">
        <f t="shared" si="6"/>
        <v>of 2015 VBT FNS RR 70 ALB</v>
      </c>
      <c r="V49" s="314">
        <v>0.8222034864456661</v>
      </c>
      <c r="W49" s="315" t="b">
        <f t="shared" si="7"/>
        <v>1</v>
      </c>
      <c r="X49" s="317"/>
      <c r="AR49" s="317"/>
      <c r="AS49" s="317"/>
      <c r="AT49" s="317"/>
      <c r="AU49" s="317"/>
      <c r="AV49" s="317"/>
    </row>
    <row r="50" spans="1:51" ht="14.45" customHeight="1" x14ac:dyDescent="0.25">
      <c r="A50" s="285" t="s">
        <v>178</v>
      </c>
      <c r="B50" s="301" t="s">
        <v>31</v>
      </c>
      <c r="C50" s="233" t="s">
        <v>260</v>
      </c>
      <c r="D50" s="332" t="s">
        <v>74</v>
      </c>
      <c r="E50" s="270">
        <v>20</v>
      </c>
      <c r="F50" s="345">
        <v>15</v>
      </c>
      <c r="G50" s="348">
        <f t="shared" si="0"/>
        <v>0.75</v>
      </c>
      <c r="H50" s="357" t="s">
        <v>251</v>
      </c>
      <c r="I50" s="265">
        <f t="shared" si="1"/>
        <v>0.78109331212338284</v>
      </c>
      <c r="J50" s="324">
        <f t="shared" si="2"/>
        <v>32.006419222868672</v>
      </c>
      <c r="K50" s="383">
        <f>E50*J50/SUM(E49:E50)</f>
        <v>20.004012014292918</v>
      </c>
      <c r="L50" s="369">
        <f t="shared" si="8"/>
        <v>15.624999999999998</v>
      </c>
      <c r="M50" s="304" t="s">
        <v>177</v>
      </c>
      <c r="N50" s="272">
        <v>0.92</v>
      </c>
      <c r="O50" s="318">
        <f t="shared" si="3"/>
        <v>14.374999999999998</v>
      </c>
      <c r="P50" s="326">
        <f>+P49</f>
        <v>1.0526315789473684</v>
      </c>
      <c r="Q50" s="326">
        <f t="shared" si="9"/>
        <v>15.131578947368418</v>
      </c>
      <c r="R50" s="317">
        <f t="shared" si="4"/>
        <v>0.7564272075300128</v>
      </c>
      <c r="S50" s="203">
        <f>+R50/R49</f>
        <v>0.92</v>
      </c>
      <c r="T50" s="317">
        <f t="shared" si="5"/>
        <v>0.7564272075300128</v>
      </c>
      <c r="U50" s="108" t="str">
        <f t="shared" si="6"/>
        <v>of 2015 VBT FNS RR 70 ALB</v>
      </c>
      <c r="V50" s="314">
        <v>0.7564272075300128</v>
      </c>
      <c r="W50" s="315" t="b">
        <f t="shared" si="7"/>
        <v>1</v>
      </c>
      <c r="X50" s="317"/>
      <c r="AR50" s="317"/>
      <c r="AS50" s="317"/>
      <c r="AT50" s="317"/>
      <c r="AU50" s="317"/>
      <c r="AV50" s="317"/>
    </row>
    <row r="51" spans="1:51" ht="14.45" customHeight="1" x14ac:dyDescent="0.25">
      <c r="A51" s="285" t="s">
        <v>234</v>
      </c>
      <c r="B51" s="301" t="s">
        <v>32</v>
      </c>
      <c r="C51" s="233" t="s">
        <v>259</v>
      </c>
      <c r="D51" s="331" t="s">
        <v>75</v>
      </c>
      <c r="E51" s="270">
        <v>86</v>
      </c>
      <c r="F51" s="345">
        <v>80</v>
      </c>
      <c r="G51" s="348">
        <f t="shared" si="0"/>
        <v>0.93023255813953487</v>
      </c>
      <c r="H51" s="357" t="s">
        <v>252</v>
      </c>
      <c r="I51" s="265">
        <f t="shared" si="1"/>
        <v>0.85664465012670266</v>
      </c>
      <c r="J51" s="324">
        <f t="shared" si="2"/>
        <v>233.46903522997411</v>
      </c>
      <c r="K51" s="383">
        <f>E51*J51/SUM(E51:E52)</f>
        <v>88.842199246804299</v>
      </c>
      <c r="L51" s="369">
        <f t="shared" si="8"/>
        <v>76.106194690265468</v>
      </c>
      <c r="M51" s="304" t="s">
        <v>234</v>
      </c>
      <c r="N51" s="272">
        <v>1</v>
      </c>
      <c r="O51" s="318">
        <f t="shared" si="3"/>
        <v>76.106194690265468</v>
      </c>
      <c r="P51" s="326">
        <f>SUM(L51:L52)/SUM(O51:O52)</f>
        <v>1.0319634703196348</v>
      </c>
      <c r="Q51" s="326">
        <f t="shared" si="9"/>
        <v>78.538812785388117</v>
      </c>
      <c r="R51" s="317">
        <f t="shared" si="4"/>
        <v>0.88402598597550142</v>
      </c>
      <c r="S51" s="203">
        <f>+R51/R51</f>
        <v>1</v>
      </c>
      <c r="T51" s="317">
        <f t="shared" si="5"/>
        <v>0.88402598597550142</v>
      </c>
      <c r="U51" s="108" t="str">
        <f t="shared" si="6"/>
        <v>of 2015 VBT FNS RR 80 ALB</v>
      </c>
      <c r="V51" s="314">
        <v>0.88402598597550142</v>
      </c>
      <c r="W51" s="315" t="b">
        <f t="shared" si="7"/>
        <v>1</v>
      </c>
      <c r="X51" s="317"/>
      <c r="AR51" s="317"/>
      <c r="AS51" s="317"/>
      <c r="AT51" s="317"/>
      <c r="AU51" s="317"/>
      <c r="AV51" s="317"/>
    </row>
    <row r="52" spans="1:51" ht="14.45" customHeight="1" x14ac:dyDescent="0.25">
      <c r="A52" s="285" t="s">
        <v>235</v>
      </c>
      <c r="B52" s="301" t="s">
        <v>32</v>
      </c>
      <c r="C52" s="233" t="s">
        <v>260</v>
      </c>
      <c r="D52" s="331" t="s">
        <v>75</v>
      </c>
      <c r="E52" s="270">
        <v>140</v>
      </c>
      <c r="F52" s="345">
        <v>120</v>
      </c>
      <c r="G52" s="348">
        <f t="shared" si="0"/>
        <v>0.8571428571428571</v>
      </c>
      <c r="H52" s="357" t="s">
        <v>252</v>
      </c>
      <c r="I52" s="265">
        <f t="shared" si="1"/>
        <v>0.85664465012670266</v>
      </c>
      <c r="J52" s="324">
        <f t="shared" si="2"/>
        <v>233.46903522997411</v>
      </c>
      <c r="K52" s="383">
        <f>E52*J52/SUM(E51:E52)</f>
        <v>144.6268359831698</v>
      </c>
      <c r="L52" s="369">
        <f t="shared" si="8"/>
        <v>123.8938053097345</v>
      </c>
      <c r="M52" s="304" t="s">
        <v>234</v>
      </c>
      <c r="N52" s="272">
        <v>0.95</v>
      </c>
      <c r="O52" s="318">
        <f t="shared" si="3"/>
        <v>117.69911504424778</v>
      </c>
      <c r="P52" s="326">
        <f>+P51</f>
        <v>1.0319634703196348</v>
      </c>
      <c r="Q52" s="326">
        <f t="shared" si="9"/>
        <v>121.46118721461187</v>
      </c>
      <c r="R52" s="317">
        <f t="shared" si="4"/>
        <v>0.83982468667672638</v>
      </c>
      <c r="S52" s="203">
        <f>+R52/R51</f>
        <v>0.95000000000000007</v>
      </c>
      <c r="T52" s="317">
        <f t="shared" si="5"/>
        <v>0.83982468667672638</v>
      </c>
      <c r="U52" s="108" t="str">
        <f t="shared" si="6"/>
        <v>of 2015 VBT FNS RR 80 ALB</v>
      </c>
      <c r="V52" s="314">
        <v>0.83982468667672638</v>
      </c>
      <c r="W52" s="315" t="b">
        <f t="shared" si="7"/>
        <v>1</v>
      </c>
      <c r="X52" s="317"/>
      <c r="AR52" s="317"/>
      <c r="AS52" s="317"/>
      <c r="AT52" s="317"/>
      <c r="AU52" s="317"/>
      <c r="AV52" s="317"/>
    </row>
    <row r="53" spans="1:51" ht="14.45" customHeight="1" x14ac:dyDescent="0.25">
      <c r="A53" s="285" t="s">
        <v>236</v>
      </c>
      <c r="B53" s="301" t="s">
        <v>33</v>
      </c>
      <c r="C53" s="233" t="s">
        <v>259</v>
      </c>
      <c r="D53" s="331" t="s">
        <v>76</v>
      </c>
      <c r="E53" s="270">
        <v>215</v>
      </c>
      <c r="F53" s="345">
        <v>175</v>
      </c>
      <c r="G53" s="348">
        <f t="shared" si="0"/>
        <v>0.81395348837209303</v>
      </c>
      <c r="H53" s="357" t="s">
        <v>253</v>
      </c>
      <c r="I53" s="265">
        <f t="shared" si="1"/>
        <v>0.79954293494823736</v>
      </c>
      <c r="J53" s="324">
        <f t="shared" si="2"/>
        <v>437.75010034033892</v>
      </c>
      <c r="K53" s="383">
        <f>E53*J53/SUM(E53:E54)</f>
        <v>211.49723949027612</v>
      </c>
      <c r="L53" s="369">
        <f t="shared" si="8"/>
        <v>169.10112359550561</v>
      </c>
      <c r="M53" s="304" t="s">
        <v>236</v>
      </c>
      <c r="N53" s="272">
        <v>1</v>
      </c>
      <c r="O53" s="318">
        <f t="shared" si="3"/>
        <v>169.10112359550561</v>
      </c>
      <c r="P53" s="326">
        <f>SUM(L53:L54)/SUM(O53:O54)</f>
        <v>1.0157498288062086</v>
      </c>
      <c r="Q53" s="326">
        <f t="shared" si="9"/>
        <v>171.76443734307233</v>
      </c>
      <c r="R53" s="317">
        <f t="shared" si="4"/>
        <v>0.81213559929688561</v>
      </c>
      <c r="S53" s="203">
        <f>+R53/R53</f>
        <v>1</v>
      </c>
      <c r="T53" s="317">
        <f t="shared" si="5"/>
        <v>0.81213559929688561</v>
      </c>
      <c r="U53" s="108" t="str">
        <f t="shared" si="6"/>
        <v>of 2015 VBT FNS RR 90 ALB</v>
      </c>
      <c r="V53" s="314">
        <v>0.81213559929688561</v>
      </c>
      <c r="W53" s="315" t="b">
        <f t="shared" si="7"/>
        <v>1</v>
      </c>
      <c r="X53" s="317"/>
      <c r="AR53" s="317"/>
      <c r="AS53" s="317"/>
      <c r="AT53" s="317"/>
      <c r="AU53" s="317"/>
      <c r="AV53" s="317"/>
    </row>
    <row r="54" spans="1:51" ht="14.45" customHeight="1" x14ac:dyDescent="0.25">
      <c r="A54" s="285" t="s">
        <v>237</v>
      </c>
      <c r="B54" s="301" t="s">
        <v>33</v>
      </c>
      <c r="C54" s="233" t="s">
        <v>260</v>
      </c>
      <c r="D54" s="331" t="s">
        <v>76</v>
      </c>
      <c r="E54" s="270">
        <v>230</v>
      </c>
      <c r="F54" s="345">
        <v>175</v>
      </c>
      <c r="G54" s="348">
        <f t="shared" si="0"/>
        <v>0.76086956521739135</v>
      </c>
      <c r="H54" s="357" t="s">
        <v>253</v>
      </c>
      <c r="I54" s="265">
        <f t="shared" si="1"/>
        <v>0.79954293494823736</v>
      </c>
      <c r="J54" s="324">
        <f t="shared" si="2"/>
        <v>437.75010034033892</v>
      </c>
      <c r="K54" s="383">
        <f>E54*J54/SUM(E53:E54)</f>
        <v>226.25286085006283</v>
      </c>
      <c r="L54" s="369">
        <f t="shared" si="8"/>
        <v>180.89887640449439</v>
      </c>
      <c r="M54" s="304" t="s">
        <v>236</v>
      </c>
      <c r="N54" s="272">
        <v>0.97</v>
      </c>
      <c r="O54" s="318">
        <f t="shared" si="3"/>
        <v>175.47191011235955</v>
      </c>
      <c r="P54" s="326">
        <f>+P53</f>
        <v>1.0157498288062086</v>
      </c>
      <c r="Q54" s="326">
        <f t="shared" si="9"/>
        <v>178.23556265692764</v>
      </c>
      <c r="R54" s="317">
        <f t="shared" si="4"/>
        <v>0.78777153131797906</v>
      </c>
      <c r="S54" s="203">
        <f>+R54/R53</f>
        <v>0.97</v>
      </c>
      <c r="T54" s="317">
        <f t="shared" si="5"/>
        <v>0.78777153131797906</v>
      </c>
      <c r="U54" s="108" t="str">
        <f t="shared" si="6"/>
        <v>of 2015 VBT FNS RR 90 ALB</v>
      </c>
      <c r="V54" s="314">
        <v>0.78777153131797906</v>
      </c>
      <c r="W54" s="315" t="b">
        <f t="shared" si="7"/>
        <v>1</v>
      </c>
      <c r="X54" s="317"/>
      <c r="AR54" s="317"/>
      <c r="AS54" s="317"/>
      <c r="AT54" s="317"/>
      <c r="AU54" s="317"/>
      <c r="AV54" s="317"/>
    </row>
    <row r="55" spans="1:51" ht="14.45" customHeight="1" x14ac:dyDescent="0.25">
      <c r="A55" s="285" t="s">
        <v>238</v>
      </c>
      <c r="B55" s="301" t="s">
        <v>116</v>
      </c>
      <c r="C55" s="233" t="s">
        <v>259</v>
      </c>
      <c r="D55" s="331" t="s">
        <v>77</v>
      </c>
      <c r="E55" s="270">
        <v>265</v>
      </c>
      <c r="F55" s="345">
        <v>225</v>
      </c>
      <c r="G55" s="348">
        <f t="shared" si="0"/>
        <v>0.84905660377358494</v>
      </c>
      <c r="H55" s="357" t="s">
        <v>254</v>
      </c>
      <c r="I55" s="265">
        <f t="shared" si="1"/>
        <v>0.8113909655557463</v>
      </c>
      <c r="J55" s="324">
        <f t="shared" si="2"/>
        <v>554.60316801997089</v>
      </c>
      <c r="K55" s="383">
        <f>E55*J55/SUM(E55:E56)</f>
        <v>269.66943032163721</v>
      </c>
      <c r="L55" s="369">
        <f t="shared" si="8"/>
        <v>218.80733944954127</v>
      </c>
      <c r="M55" s="304" t="s">
        <v>238</v>
      </c>
      <c r="N55" s="272">
        <v>1</v>
      </c>
      <c r="O55" s="318">
        <f t="shared" si="3"/>
        <v>218.80733944954127</v>
      </c>
      <c r="P55" s="326">
        <f>SUM(L55:L56)/SUM(O55:O56)</f>
        <v>1.0156541185240402</v>
      </c>
      <c r="Q55" s="326">
        <f t="shared" si="9"/>
        <v>222.23257547521428</v>
      </c>
      <c r="R55" s="317">
        <f t="shared" si="4"/>
        <v>0.82409257589989138</v>
      </c>
      <c r="S55" s="203">
        <f>+R55/R55</f>
        <v>1</v>
      </c>
      <c r="T55" s="317">
        <f t="shared" si="5"/>
        <v>0.82409257589989138</v>
      </c>
      <c r="U55" s="108" t="str">
        <f t="shared" si="6"/>
        <v>of 2015 VBT FNS RR 110 ALB</v>
      </c>
      <c r="V55" s="314">
        <v>0.82409257589989138</v>
      </c>
      <c r="W55" s="315" t="b">
        <f t="shared" si="7"/>
        <v>1</v>
      </c>
      <c r="X55" s="317"/>
      <c r="AR55" s="317"/>
      <c r="AS55" s="317"/>
      <c r="AT55" s="317"/>
      <c r="AU55" s="317"/>
      <c r="AV55" s="317"/>
    </row>
    <row r="56" spans="1:51" ht="14.45" customHeight="1" x14ac:dyDescent="0.25">
      <c r="A56" s="285" t="s">
        <v>239</v>
      </c>
      <c r="B56" s="301" t="s">
        <v>116</v>
      </c>
      <c r="C56" s="233" t="s">
        <v>260</v>
      </c>
      <c r="D56" s="331" t="s">
        <v>77</v>
      </c>
      <c r="E56" s="270">
        <v>280</v>
      </c>
      <c r="F56" s="345">
        <v>225</v>
      </c>
      <c r="G56" s="348">
        <f t="shared" si="0"/>
        <v>0.8035714285714286</v>
      </c>
      <c r="H56" s="357" t="s">
        <v>254</v>
      </c>
      <c r="I56" s="265">
        <f t="shared" si="1"/>
        <v>0.8113909655557463</v>
      </c>
      <c r="J56" s="324">
        <f t="shared" si="2"/>
        <v>554.60316801997089</v>
      </c>
      <c r="K56" s="383">
        <f>E56*J56/SUM(E55:E56)</f>
        <v>284.93373769833363</v>
      </c>
      <c r="L56" s="369">
        <f t="shared" si="8"/>
        <v>231.19266055045867</v>
      </c>
      <c r="M56" s="304" t="s">
        <v>238</v>
      </c>
      <c r="N56" s="272">
        <v>0.97</v>
      </c>
      <c r="O56" s="318">
        <f t="shared" si="3"/>
        <v>224.25688073394491</v>
      </c>
      <c r="P56" s="326">
        <f>+P55</f>
        <v>1.0156541185240402</v>
      </c>
      <c r="Q56" s="326">
        <f t="shared" si="9"/>
        <v>227.76742452478564</v>
      </c>
      <c r="R56" s="317">
        <f t="shared" si="4"/>
        <v>0.7993697986228947</v>
      </c>
      <c r="S56" s="203">
        <f>+R56/R55</f>
        <v>0.97000000000000008</v>
      </c>
      <c r="T56" s="317">
        <f t="shared" si="5"/>
        <v>0.7993697986228947</v>
      </c>
      <c r="U56" s="108" t="str">
        <f t="shared" si="6"/>
        <v>of 2015 VBT FNS RR 110 ALB</v>
      </c>
      <c r="V56" s="314">
        <v>0.7993697986228947</v>
      </c>
      <c r="W56" s="315" t="b">
        <f t="shared" si="7"/>
        <v>1</v>
      </c>
      <c r="X56" s="317"/>
      <c r="AR56" s="317"/>
      <c r="AS56" s="317"/>
      <c r="AT56" s="317"/>
      <c r="AU56" s="317"/>
      <c r="AV56" s="317"/>
    </row>
    <row r="57" spans="1:51" ht="14.45" customHeight="1" x14ac:dyDescent="0.25">
      <c r="A57" s="285" t="s">
        <v>240</v>
      </c>
      <c r="B57" s="301" t="s">
        <v>34</v>
      </c>
      <c r="C57" s="233" t="s">
        <v>259</v>
      </c>
      <c r="D57" s="332" t="s">
        <v>78</v>
      </c>
      <c r="E57" s="270">
        <v>278</v>
      </c>
      <c r="F57" s="345">
        <v>220</v>
      </c>
      <c r="G57" s="348">
        <f t="shared" si="0"/>
        <v>0.79136690647482011</v>
      </c>
      <c r="H57" s="357" t="s">
        <v>255</v>
      </c>
      <c r="I57" s="265">
        <f t="shared" si="1"/>
        <v>0.80223766822506304</v>
      </c>
      <c r="J57" s="324">
        <f t="shared" si="2"/>
        <v>685.58236765030676</v>
      </c>
      <c r="K57" s="383">
        <f>E57*J57/SUM(E57:E58)</f>
        <v>260.0162322057098</v>
      </c>
      <c r="L57" s="369">
        <f t="shared" si="8"/>
        <v>208.59481582537518</v>
      </c>
      <c r="M57" s="304" t="s">
        <v>240</v>
      </c>
      <c r="N57" s="272">
        <v>1</v>
      </c>
      <c r="O57" s="318">
        <f t="shared" si="3"/>
        <v>208.59481582537518</v>
      </c>
      <c r="P57" s="326">
        <f>SUM(L57:L58)/SUM(O57:O58)</f>
        <v>1.0951740624533093</v>
      </c>
      <c r="Q57" s="326">
        <f t="shared" si="9"/>
        <v>228.447631854176</v>
      </c>
      <c r="R57" s="317">
        <f t="shared" si="4"/>
        <v>0.87858988616311251</v>
      </c>
      <c r="S57" s="203">
        <f>+R57/R57</f>
        <v>1</v>
      </c>
      <c r="T57" s="317">
        <f t="shared" si="5"/>
        <v>0.87858988616311251</v>
      </c>
      <c r="U57" s="108" t="str">
        <f t="shared" si="6"/>
        <v>of 2015 VBT FSM RR 75 ALB</v>
      </c>
      <c r="V57" s="314">
        <v>0.87858988616311251</v>
      </c>
      <c r="W57" s="315" t="b">
        <f t="shared" si="7"/>
        <v>1</v>
      </c>
      <c r="X57" s="317"/>
      <c r="AR57" s="317"/>
      <c r="AS57" s="317"/>
      <c r="AT57" s="317"/>
      <c r="AU57" s="317"/>
      <c r="AV57" s="317"/>
    </row>
    <row r="58" spans="1:51" ht="14.45" customHeight="1" x14ac:dyDescent="0.25">
      <c r="A58" s="285" t="s">
        <v>241</v>
      </c>
      <c r="B58" s="301" t="s">
        <v>34</v>
      </c>
      <c r="C58" s="233" t="s">
        <v>260</v>
      </c>
      <c r="D58" s="332" t="s">
        <v>78</v>
      </c>
      <c r="E58" s="270">
        <v>455</v>
      </c>
      <c r="F58" s="345">
        <v>330</v>
      </c>
      <c r="G58" s="348">
        <f t="shared" si="0"/>
        <v>0.72527472527472525</v>
      </c>
      <c r="H58" s="357" t="s">
        <v>255</v>
      </c>
      <c r="I58" s="265">
        <f t="shared" si="1"/>
        <v>0.80223766822506304</v>
      </c>
      <c r="J58" s="324">
        <f t="shared" si="2"/>
        <v>685.58236765030676</v>
      </c>
      <c r="K58" s="383">
        <f>E58*J58/SUM(E57:E58)</f>
        <v>425.56613544459697</v>
      </c>
      <c r="L58" s="369">
        <f t="shared" si="8"/>
        <v>341.40518417462482</v>
      </c>
      <c r="M58" s="304" t="s">
        <v>240</v>
      </c>
      <c r="N58" s="272">
        <v>0.86</v>
      </c>
      <c r="O58" s="318">
        <f t="shared" si="3"/>
        <v>293.60845839017736</v>
      </c>
      <c r="P58" s="326">
        <f>+P57</f>
        <v>1.0951740624533093</v>
      </c>
      <c r="Q58" s="326">
        <f t="shared" si="9"/>
        <v>321.55236814582395</v>
      </c>
      <c r="R58" s="317">
        <f t="shared" si="4"/>
        <v>0.75558730210027669</v>
      </c>
      <c r="S58" s="203">
        <f>+R58/R57</f>
        <v>0.85999999999999988</v>
      </c>
      <c r="T58" s="317">
        <f t="shared" si="5"/>
        <v>0.75558730210027669</v>
      </c>
      <c r="U58" s="108" t="str">
        <f t="shared" si="6"/>
        <v>of 2015 VBT FSM RR 75 ALB</v>
      </c>
      <c r="V58" s="314">
        <v>0.75558730210027669</v>
      </c>
      <c r="W58" s="315" t="b">
        <f t="shared" si="7"/>
        <v>1</v>
      </c>
      <c r="X58" s="317"/>
      <c r="AR58" s="317"/>
      <c r="AS58" s="317"/>
      <c r="AT58" s="317"/>
      <c r="AU58" s="317"/>
      <c r="AV58" s="317"/>
    </row>
    <row r="59" spans="1:51" ht="14.45" customHeight="1" x14ac:dyDescent="0.25">
      <c r="A59" s="285" t="s">
        <v>242</v>
      </c>
      <c r="B59" s="301" t="s">
        <v>117</v>
      </c>
      <c r="C59" s="233" t="s">
        <v>259</v>
      </c>
      <c r="D59" s="331" t="s">
        <v>79</v>
      </c>
      <c r="E59" s="270">
        <v>366</v>
      </c>
      <c r="F59" s="345">
        <v>325</v>
      </c>
      <c r="G59" s="348">
        <f t="shared" si="0"/>
        <v>0.88797814207650272</v>
      </c>
      <c r="H59" s="357" t="s">
        <v>256</v>
      </c>
      <c r="I59" s="265">
        <f t="shared" si="1"/>
        <v>0.80819466283833308</v>
      </c>
      <c r="J59" s="324">
        <f t="shared" si="2"/>
        <v>804.26168333905775</v>
      </c>
      <c r="K59" s="383">
        <f>E59*J59/SUM(E59:E60)</f>
        <v>389.36478320382957</v>
      </c>
      <c r="L59" s="369">
        <f t="shared" si="8"/>
        <v>314.6825396825397</v>
      </c>
      <c r="M59" s="304" t="s">
        <v>242</v>
      </c>
      <c r="N59" s="272">
        <v>1</v>
      </c>
      <c r="O59" s="318">
        <f t="shared" si="3"/>
        <v>314.6825396825397</v>
      </c>
      <c r="P59" s="326">
        <f>SUM(L59:L60)/SUM(O59:O60)</f>
        <v>1.0104250200481153</v>
      </c>
      <c r="Q59" s="326">
        <f t="shared" si="9"/>
        <v>317.96311146752203</v>
      </c>
      <c r="R59" s="317">
        <f t="shared" si="4"/>
        <v>0.81662010840120247</v>
      </c>
      <c r="S59" s="203">
        <f>+R59/R59</f>
        <v>1</v>
      </c>
      <c r="T59" s="317">
        <f t="shared" si="5"/>
        <v>0.81662010840120247</v>
      </c>
      <c r="U59" s="108" t="str">
        <f t="shared" si="6"/>
        <v>of 2015 VBT FSM RR 125 ALB</v>
      </c>
      <c r="V59" s="314">
        <v>0.81662010840120247</v>
      </c>
      <c r="W59" s="315" t="b">
        <f t="shared" si="7"/>
        <v>1</v>
      </c>
      <c r="X59" s="317"/>
      <c r="AR59" s="317"/>
      <c r="AS59" s="317"/>
      <c r="AT59" s="317"/>
      <c r="AU59" s="317"/>
      <c r="AV59" s="317"/>
    </row>
    <row r="60" spans="1:51" ht="14.45" customHeight="1" x14ac:dyDescent="0.25">
      <c r="A60" s="285" t="s">
        <v>243</v>
      </c>
      <c r="B60" s="301" t="s">
        <v>117</v>
      </c>
      <c r="C60" s="297" t="s">
        <v>260</v>
      </c>
      <c r="D60" s="331" t="s">
        <v>79</v>
      </c>
      <c r="E60" s="270">
        <v>390</v>
      </c>
      <c r="F60" s="345">
        <v>325</v>
      </c>
      <c r="G60" s="348">
        <f t="shared" si="0"/>
        <v>0.83333333333333337</v>
      </c>
      <c r="H60" s="357" t="s">
        <v>256</v>
      </c>
      <c r="I60" s="265">
        <f t="shared" si="1"/>
        <v>0.80819466283833308</v>
      </c>
      <c r="J60" s="324">
        <f t="shared" si="2"/>
        <v>804.26168333905775</v>
      </c>
      <c r="K60" s="383">
        <f>E60*J60/SUM(E59:E60)</f>
        <v>414.89690013522818</v>
      </c>
      <c r="L60" s="369">
        <f t="shared" si="8"/>
        <v>335.3174603174603</v>
      </c>
      <c r="M60" s="304" t="s">
        <v>242</v>
      </c>
      <c r="N60" s="272">
        <v>0.98</v>
      </c>
      <c r="O60" s="318">
        <f t="shared" si="3"/>
        <v>328.61111111111109</v>
      </c>
      <c r="P60" s="326">
        <f>+P59</f>
        <v>1.0104250200481153</v>
      </c>
      <c r="Q60" s="326">
        <f t="shared" si="9"/>
        <v>332.03688853247786</v>
      </c>
      <c r="R60" s="317">
        <f t="shared" si="4"/>
        <v>0.80028770623317846</v>
      </c>
      <c r="S60" s="203">
        <f>+R60/R59</f>
        <v>0.98000000000000009</v>
      </c>
      <c r="T60" s="317">
        <f t="shared" si="5"/>
        <v>0.80028770623317846</v>
      </c>
      <c r="U60" s="108" t="str">
        <f t="shared" si="6"/>
        <v>of 2015 VBT FSM RR 125 ALB</v>
      </c>
      <c r="V60" s="314">
        <v>0.80028770623317846</v>
      </c>
      <c r="W60" s="315" t="b">
        <f t="shared" si="7"/>
        <v>1</v>
      </c>
      <c r="X60" s="317"/>
      <c r="AR60" s="317"/>
      <c r="AS60" s="317"/>
      <c r="AT60" s="317"/>
      <c r="AU60" s="317"/>
      <c r="AV60" s="317"/>
    </row>
    <row r="61" spans="1:51" ht="14.45" customHeight="1" x14ac:dyDescent="0.25">
      <c r="A61" s="296" t="s">
        <v>3</v>
      </c>
      <c r="B61" s="335" t="s">
        <v>38</v>
      </c>
      <c r="C61" s="283"/>
      <c r="D61" s="333"/>
      <c r="E61" s="334">
        <f>SUM(E37:E60)</f>
        <v>5904</v>
      </c>
      <c r="F61" s="346">
        <f>SUM(F37:F60)</f>
        <v>4775</v>
      </c>
      <c r="G61" s="349">
        <f t="shared" si="0"/>
        <v>0.80877371273712739</v>
      </c>
      <c r="H61" s="333"/>
      <c r="I61" s="350"/>
      <c r="J61" s="319"/>
      <c r="K61" s="319">
        <f>SUM(K37:K60)</f>
        <v>5904.0000000000009</v>
      </c>
      <c r="L61" s="370">
        <f>SUM(L37:L60)</f>
        <v>4775</v>
      </c>
      <c r="M61" s="363"/>
      <c r="O61" s="319">
        <f>SUM(O37:O60)</f>
        <v>4615.8515881287203</v>
      </c>
      <c r="P61" s="319"/>
      <c r="Q61" s="319">
        <f>SUM(Q37:Q60)</f>
        <v>4775</v>
      </c>
      <c r="R61" s="328">
        <f t="shared" si="4"/>
        <v>0.80877371273712728</v>
      </c>
      <c r="S61" s="317"/>
      <c r="T61" s="317"/>
      <c r="U61" s="317"/>
      <c r="V61" s="317"/>
      <c r="W61" s="317"/>
      <c r="X61" s="317"/>
      <c r="AR61" s="317"/>
      <c r="AS61" s="317"/>
      <c r="AT61" s="317"/>
      <c r="AU61" s="317"/>
      <c r="AV61" s="317"/>
      <c r="AW61" s="21"/>
      <c r="AX61" s="106"/>
      <c r="AY61" s="62"/>
    </row>
    <row r="62" spans="1:51" ht="14.45" customHeight="1" x14ac:dyDescent="0.25">
      <c r="A62" s="22"/>
      <c r="B62" s="283"/>
      <c r="C62" s="283"/>
      <c r="D62" s="23"/>
      <c r="E62" s="23"/>
      <c r="F62" s="23"/>
      <c r="G62" s="347"/>
      <c r="H62" s="25"/>
      <c r="K62" s="25"/>
      <c r="O62" s="25"/>
      <c r="P62" s="25"/>
      <c r="AK62" s="317"/>
      <c r="AL62" s="317"/>
      <c r="AM62" s="317"/>
      <c r="AN62" s="317"/>
      <c r="AO62" s="317"/>
      <c r="AP62" s="25"/>
      <c r="AQ62" s="25"/>
      <c r="AR62" s="25"/>
      <c r="AS62" s="25"/>
      <c r="AT62" s="25"/>
      <c r="AU62" s="25"/>
      <c r="AV62" s="24"/>
      <c r="AW62" s="25"/>
      <c r="AX62" s="24"/>
      <c r="AY62" s="24"/>
    </row>
    <row r="63" spans="1:51" x14ac:dyDescent="0.25">
      <c r="AK63" s="317"/>
    </row>
    <row r="64" spans="1:51" x14ac:dyDescent="0.25">
      <c r="A64" s="291" t="s">
        <v>244</v>
      </c>
    </row>
    <row r="65" spans="1:19" x14ac:dyDescent="0.25">
      <c r="A65" s="95" t="s">
        <v>221</v>
      </c>
      <c r="B65" s="68"/>
      <c r="C65" s="69" t="s">
        <v>39</v>
      </c>
      <c r="D65" s="23"/>
      <c r="E65" s="24"/>
      <c r="F65" s="70"/>
      <c r="G65" s="71" t="s">
        <v>44</v>
      </c>
      <c r="H65" s="69"/>
      <c r="I65" s="69"/>
      <c r="J65" s="69"/>
      <c r="K65" s="25"/>
      <c r="L65" s="25"/>
      <c r="M65" s="25"/>
      <c r="N65" s="25"/>
      <c r="O65" s="70"/>
      <c r="P65" s="67" t="s">
        <v>64</v>
      </c>
      <c r="S65" s="70"/>
    </row>
    <row r="66" spans="1:19" x14ac:dyDescent="0.25">
      <c r="A66" s="116"/>
      <c r="B66" s="8"/>
      <c r="C66" s="5"/>
      <c r="D66" s="1"/>
      <c r="F66" s="9"/>
      <c r="G66" s="117"/>
      <c r="H66" s="5"/>
      <c r="I66" s="5"/>
      <c r="J66" s="5"/>
      <c r="K66" s="4"/>
      <c r="L66" s="4"/>
      <c r="M66" s="4"/>
      <c r="N66" s="4"/>
      <c r="O66" s="9"/>
      <c r="P66" s="3" t="s">
        <v>308</v>
      </c>
      <c r="S66" s="9"/>
    </row>
    <row r="67" spans="1:19" x14ac:dyDescent="0.25">
      <c r="A67" s="96"/>
      <c r="B67" s="8"/>
      <c r="C67" s="5"/>
      <c r="D67" s="1"/>
      <c r="F67" s="9"/>
      <c r="G67" s="12"/>
      <c r="H67" s="4"/>
      <c r="I67" s="5"/>
      <c r="J67" s="5"/>
      <c r="K67" s="4"/>
      <c r="L67" s="4"/>
      <c r="M67" s="4"/>
      <c r="N67" s="4"/>
      <c r="O67" s="9"/>
      <c r="P67" s="3" t="s">
        <v>66</v>
      </c>
      <c r="S67" s="9"/>
    </row>
    <row r="68" spans="1:19" x14ac:dyDescent="0.25">
      <c r="A68" s="37" t="s">
        <v>6</v>
      </c>
      <c r="B68" s="51" t="s">
        <v>7</v>
      </c>
      <c r="C68" s="42" t="s">
        <v>8</v>
      </c>
      <c r="D68" s="37" t="s">
        <v>9</v>
      </c>
      <c r="E68" s="37" t="s">
        <v>10</v>
      </c>
      <c r="F68" s="51" t="s">
        <v>11</v>
      </c>
      <c r="G68" s="42" t="s">
        <v>12</v>
      </c>
      <c r="H68" s="41"/>
      <c r="I68" s="42" t="s">
        <v>13</v>
      </c>
      <c r="J68" s="41"/>
      <c r="K68" s="42" t="s">
        <v>14</v>
      </c>
      <c r="L68" s="41"/>
      <c r="M68" s="42" t="s">
        <v>25</v>
      </c>
      <c r="N68" s="41"/>
      <c r="O68" s="59" t="s">
        <v>26</v>
      </c>
      <c r="P68" s="42" t="s">
        <v>35</v>
      </c>
      <c r="Q68" s="42" t="s">
        <v>36</v>
      </c>
      <c r="R68" s="42" t="s">
        <v>37</v>
      </c>
      <c r="S68" s="308" t="s">
        <v>168</v>
      </c>
    </row>
    <row r="69" spans="1:19" ht="63" x14ac:dyDescent="0.25">
      <c r="A69" s="35"/>
      <c r="B69" s="52"/>
      <c r="C69" s="44"/>
      <c r="D69" s="36" t="s">
        <v>189</v>
      </c>
      <c r="E69" s="35"/>
      <c r="F69" s="241" t="s">
        <v>176</v>
      </c>
      <c r="G69" s="44" t="s">
        <v>290</v>
      </c>
      <c r="H69" s="14" t="s">
        <v>45</v>
      </c>
      <c r="I69" s="327" t="s">
        <v>281</v>
      </c>
      <c r="J69" s="14" t="s">
        <v>46</v>
      </c>
      <c r="K69" s="73" t="s">
        <v>280</v>
      </c>
      <c r="L69" s="14" t="s">
        <v>45</v>
      </c>
      <c r="M69" s="359" t="s">
        <v>282</v>
      </c>
      <c r="N69" s="14"/>
      <c r="O69" s="60"/>
      <c r="P69" s="7" t="s">
        <v>279</v>
      </c>
      <c r="Q69" s="7" t="s">
        <v>291</v>
      </c>
      <c r="R69" s="7" t="s">
        <v>292</v>
      </c>
      <c r="S69" s="360" t="s">
        <v>293</v>
      </c>
    </row>
    <row r="70" spans="1:19" ht="60" x14ac:dyDescent="0.25">
      <c r="A70" s="15" t="s">
        <v>43</v>
      </c>
      <c r="B70" s="53" t="s">
        <v>42</v>
      </c>
      <c r="C70" s="48" t="s">
        <v>90</v>
      </c>
      <c r="D70" s="16" t="s">
        <v>217</v>
      </c>
      <c r="E70" s="16" t="s">
        <v>24</v>
      </c>
      <c r="F70" s="55" t="s">
        <v>23</v>
      </c>
      <c r="G70" s="97" t="s">
        <v>2</v>
      </c>
      <c r="H70" s="98" t="s">
        <v>45</v>
      </c>
      <c r="I70" s="98" t="s">
        <v>23</v>
      </c>
      <c r="J70" s="98" t="s">
        <v>46</v>
      </c>
      <c r="K70" s="98" t="s">
        <v>40</v>
      </c>
      <c r="L70" s="98" t="s">
        <v>45</v>
      </c>
      <c r="M70" s="98" t="s">
        <v>41</v>
      </c>
      <c r="N70" s="98" t="s">
        <v>47</v>
      </c>
      <c r="O70" s="99" t="s">
        <v>52</v>
      </c>
      <c r="P70" s="337" t="s">
        <v>274</v>
      </c>
      <c r="Q70" s="338" t="s">
        <v>278</v>
      </c>
      <c r="R70" s="338" t="s">
        <v>269</v>
      </c>
      <c r="S70" s="323" t="s">
        <v>283</v>
      </c>
    </row>
    <row r="71" spans="1:19" x14ac:dyDescent="0.25">
      <c r="A71" s="17" t="s">
        <v>222</v>
      </c>
      <c r="B71" s="54" t="s">
        <v>27</v>
      </c>
      <c r="C71" s="49" t="s">
        <v>68</v>
      </c>
      <c r="D71" s="270">
        <v>64</v>
      </c>
      <c r="E71" s="270">
        <f t="shared" ref="E71:E82" si="10">SUMIF($D$37:$D$60,$C71,F$37:F$60)</f>
        <v>50</v>
      </c>
      <c r="F71" s="271">
        <f>E71/D71</f>
        <v>0.78125</v>
      </c>
      <c r="G71" s="127">
        <v>0.15</v>
      </c>
      <c r="H71" s="14" t="s">
        <v>45</v>
      </c>
      <c r="I71" s="260">
        <f>F71</f>
        <v>0.78125</v>
      </c>
      <c r="J71" s="14" t="s">
        <v>46</v>
      </c>
      <c r="K71" s="47">
        <f>1-G71</f>
        <v>0.85</v>
      </c>
      <c r="L71" s="14" t="s">
        <v>45</v>
      </c>
      <c r="M71" s="259">
        <f t="shared" ref="M71:M82" si="11">$F$83</f>
        <v>0.80877371273712739</v>
      </c>
      <c r="N71" s="14" t="s">
        <v>47</v>
      </c>
      <c r="O71" s="102">
        <f>(G71*I71)+(K71*M71)</f>
        <v>0.80464515582655827</v>
      </c>
      <c r="P71" s="339">
        <f>O71*D71</f>
        <v>51.497289972899729</v>
      </c>
      <c r="Q71" s="340">
        <f t="shared" ref="Q71:Q82" si="12">+P71*D$83/P$83</f>
        <v>63.794622397541573</v>
      </c>
      <c r="R71" s="342">
        <f>E71/Q71</f>
        <v>0.78376512190041314</v>
      </c>
      <c r="S71" s="358">
        <f>Q71*R71</f>
        <v>50</v>
      </c>
    </row>
    <row r="72" spans="1:19" x14ac:dyDescent="0.25">
      <c r="A72" s="17" t="s">
        <v>223</v>
      </c>
      <c r="B72" s="54" t="s">
        <v>28</v>
      </c>
      <c r="C72" s="49" t="s">
        <v>69</v>
      </c>
      <c r="D72" s="270">
        <v>343</v>
      </c>
      <c r="E72" s="270">
        <f t="shared" si="10"/>
        <v>300</v>
      </c>
      <c r="F72" s="271">
        <f t="shared" ref="F72:F83" si="13">E72/D72</f>
        <v>0.87463556851311952</v>
      </c>
      <c r="G72" s="127">
        <v>0.62</v>
      </c>
      <c r="H72" s="14" t="s">
        <v>45</v>
      </c>
      <c r="I72" s="260">
        <f t="shared" ref="I72:I82" si="14">F72</f>
        <v>0.87463556851311952</v>
      </c>
      <c r="J72" s="14" t="s">
        <v>46</v>
      </c>
      <c r="K72" s="47">
        <f t="shared" ref="K72:K82" si="15">1-G72</f>
        <v>0.38</v>
      </c>
      <c r="L72" s="14" t="s">
        <v>45</v>
      </c>
      <c r="M72" s="259">
        <f t="shared" si="11"/>
        <v>0.80877371273712739</v>
      </c>
      <c r="N72" s="14" t="s">
        <v>47</v>
      </c>
      <c r="O72" s="102">
        <f t="shared" ref="O72:O82" si="16">(G72*I72)+(K72*M72)</f>
        <v>0.84960806331824257</v>
      </c>
      <c r="P72" s="339">
        <f t="shared" ref="P72:P82" si="17">O72*D72</f>
        <v>291.41556571815721</v>
      </c>
      <c r="Q72" s="340">
        <f t="shared" si="12"/>
        <v>361.00435548237817</v>
      </c>
      <c r="R72" s="342">
        <f t="shared" ref="R72:R83" si="18">E72/Q72</f>
        <v>0.83101490451309523</v>
      </c>
      <c r="S72" s="358">
        <f t="shared" ref="S72:S83" si="19">Q72*R72</f>
        <v>300</v>
      </c>
    </row>
    <row r="73" spans="1:19" x14ac:dyDescent="0.25">
      <c r="A73" s="17" t="s">
        <v>224</v>
      </c>
      <c r="B73" s="54" t="s">
        <v>29</v>
      </c>
      <c r="C73" s="49" t="s">
        <v>70</v>
      </c>
      <c r="D73" s="270">
        <v>510</v>
      </c>
      <c r="E73" s="270">
        <f t="shared" si="10"/>
        <v>400</v>
      </c>
      <c r="F73" s="271">
        <f t="shared" si="13"/>
        <v>0.78431372549019607</v>
      </c>
      <c r="G73" s="127">
        <v>0.78</v>
      </c>
      <c r="H73" s="14" t="s">
        <v>45</v>
      </c>
      <c r="I73" s="260">
        <f t="shared" si="14"/>
        <v>0.78431372549019607</v>
      </c>
      <c r="J73" s="14" t="s">
        <v>46</v>
      </c>
      <c r="K73" s="47">
        <f t="shared" si="15"/>
        <v>0.21999999999999997</v>
      </c>
      <c r="L73" s="14" t="s">
        <v>45</v>
      </c>
      <c r="M73" s="259">
        <f t="shared" si="11"/>
        <v>0.80877371273712739</v>
      </c>
      <c r="N73" s="14" t="s">
        <v>47</v>
      </c>
      <c r="O73" s="102">
        <f t="shared" si="16"/>
        <v>0.78969492268452102</v>
      </c>
      <c r="P73" s="339">
        <f t="shared" si="17"/>
        <v>402.7444105691057</v>
      </c>
      <c r="Q73" s="340">
        <f t="shared" si="12"/>
        <v>498.91805196928544</v>
      </c>
      <c r="R73" s="342">
        <f t="shared" si="18"/>
        <v>0.80173487092951479</v>
      </c>
      <c r="S73" s="358">
        <f t="shared" si="19"/>
        <v>400</v>
      </c>
    </row>
    <row r="74" spans="1:19" x14ac:dyDescent="0.25">
      <c r="A74" s="17" t="s">
        <v>225</v>
      </c>
      <c r="B74" s="54" t="s">
        <v>296</v>
      </c>
      <c r="C74" s="49" t="s">
        <v>71</v>
      </c>
      <c r="D74" s="270">
        <v>617</v>
      </c>
      <c r="E74" s="270">
        <f t="shared" si="10"/>
        <v>500</v>
      </c>
      <c r="F74" s="271">
        <f t="shared" si="13"/>
        <v>0.81037277147487841</v>
      </c>
      <c r="G74" s="127">
        <v>0.89</v>
      </c>
      <c r="H74" s="14" t="s">
        <v>45</v>
      </c>
      <c r="I74" s="260">
        <f t="shared" si="14"/>
        <v>0.81037277147487841</v>
      </c>
      <c r="J74" s="14" t="s">
        <v>46</v>
      </c>
      <c r="K74" s="47">
        <f t="shared" si="15"/>
        <v>0.10999999999999999</v>
      </c>
      <c r="L74" s="14" t="s">
        <v>45</v>
      </c>
      <c r="M74" s="259">
        <f t="shared" si="11"/>
        <v>0.80877371273712739</v>
      </c>
      <c r="N74" s="14" t="s">
        <v>47</v>
      </c>
      <c r="O74" s="102">
        <f t="shared" si="16"/>
        <v>0.81019687501372573</v>
      </c>
      <c r="P74" s="339">
        <f t="shared" si="17"/>
        <v>499.8914718834688</v>
      </c>
      <c r="Q74" s="340">
        <f t="shared" si="12"/>
        <v>619.26341571254284</v>
      </c>
      <c r="R74" s="342">
        <f t="shared" si="18"/>
        <v>0.80741084862034873</v>
      </c>
      <c r="S74" s="358">
        <f t="shared" si="19"/>
        <v>500</v>
      </c>
    </row>
    <row r="75" spans="1:19" x14ac:dyDescent="0.25">
      <c r="A75" s="17" t="s">
        <v>226</v>
      </c>
      <c r="B75" s="54" t="s">
        <v>30</v>
      </c>
      <c r="C75" s="76" t="s">
        <v>72</v>
      </c>
      <c r="D75" s="270">
        <v>800</v>
      </c>
      <c r="E75" s="270">
        <f t="shared" si="10"/>
        <v>600</v>
      </c>
      <c r="F75" s="271">
        <f t="shared" si="13"/>
        <v>0.75</v>
      </c>
      <c r="G75" s="127">
        <v>0.95</v>
      </c>
      <c r="H75" s="14" t="s">
        <v>45</v>
      </c>
      <c r="I75" s="260">
        <f t="shared" si="14"/>
        <v>0.75</v>
      </c>
      <c r="J75" s="14" t="s">
        <v>46</v>
      </c>
      <c r="K75" s="47">
        <f t="shared" si="15"/>
        <v>5.0000000000000044E-2</v>
      </c>
      <c r="L75" s="14" t="s">
        <v>45</v>
      </c>
      <c r="M75" s="259">
        <f t="shared" si="11"/>
        <v>0.80877371273712739</v>
      </c>
      <c r="N75" s="14" t="s">
        <v>47</v>
      </c>
      <c r="O75" s="102">
        <f t="shared" si="16"/>
        <v>0.75293868563685629</v>
      </c>
      <c r="P75" s="339">
        <f t="shared" si="17"/>
        <v>602.35094850948508</v>
      </c>
      <c r="Q75" s="340">
        <f t="shared" si="12"/>
        <v>746.18977680545049</v>
      </c>
      <c r="R75" s="342">
        <f t="shared" si="18"/>
        <v>0.80408499104435516</v>
      </c>
      <c r="S75" s="358">
        <f t="shared" si="19"/>
        <v>600</v>
      </c>
    </row>
    <row r="76" spans="1:19" x14ac:dyDescent="0.25">
      <c r="A76" s="17" t="s">
        <v>227</v>
      </c>
      <c r="B76" s="54" t="s">
        <v>115</v>
      </c>
      <c r="C76" s="49" t="s">
        <v>73</v>
      </c>
      <c r="D76" s="270">
        <v>833</v>
      </c>
      <c r="E76" s="270">
        <f t="shared" si="10"/>
        <v>700</v>
      </c>
      <c r="F76" s="271">
        <f t="shared" si="13"/>
        <v>0.84033613445378152</v>
      </c>
      <c r="G76" s="127">
        <v>1</v>
      </c>
      <c r="H76" s="14" t="s">
        <v>45</v>
      </c>
      <c r="I76" s="260">
        <f t="shared" si="14"/>
        <v>0.84033613445378152</v>
      </c>
      <c r="J76" s="14" t="s">
        <v>46</v>
      </c>
      <c r="K76" s="47">
        <f t="shared" si="15"/>
        <v>0</v>
      </c>
      <c r="L76" s="14" t="s">
        <v>45</v>
      </c>
      <c r="M76" s="259">
        <f t="shared" si="11"/>
        <v>0.80877371273712739</v>
      </c>
      <c r="N76" s="14" t="s">
        <v>47</v>
      </c>
      <c r="O76" s="102">
        <f t="shared" si="16"/>
        <v>0.84033613445378152</v>
      </c>
      <c r="P76" s="339">
        <f t="shared" si="17"/>
        <v>700</v>
      </c>
      <c r="Q76" s="340">
        <f t="shared" si="12"/>
        <v>867.15700383028491</v>
      </c>
      <c r="R76" s="342">
        <f t="shared" si="18"/>
        <v>0.80723559506301357</v>
      </c>
      <c r="S76" s="358">
        <f t="shared" si="19"/>
        <v>700</v>
      </c>
    </row>
    <row r="77" spans="1:19" x14ac:dyDescent="0.25">
      <c r="A77" s="17" t="s">
        <v>228</v>
      </c>
      <c r="B77" s="54" t="s">
        <v>31</v>
      </c>
      <c r="C77" s="76" t="s">
        <v>74</v>
      </c>
      <c r="D77" s="270">
        <v>32</v>
      </c>
      <c r="E77" s="270">
        <f t="shared" si="10"/>
        <v>25</v>
      </c>
      <c r="F77" s="271">
        <f t="shared" si="13"/>
        <v>0.78125</v>
      </c>
      <c r="G77" s="127">
        <v>0.05</v>
      </c>
      <c r="H77" s="14" t="s">
        <v>45</v>
      </c>
      <c r="I77" s="260">
        <f t="shared" si="14"/>
        <v>0.78125</v>
      </c>
      <c r="J77" s="14" t="s">
        <v>46</v>
      </c>
      <c r="K77" s="47">
        <f t="shared" si="15"/>
        <v>0.95</v>
      </c>
      <c r="L77" s="14" t="s">
        <v>45</v>
      </c>
      <c r="M77" s="259">
        <f t="shared" si="11"/>
        <v>0.80877371273712739</v>
      </c>
      <c r="N77" s="14" t="s">
        <v>47</v>
      </c>
      <c r="O77" s="102">
        <f t="shared" si="16"/>
        <v>0.80739752710027102</v>
      </c>
      <c r="P77" s="339">
        <f t="shared" si="17"/>
        <v>25.836720867208673</v>
      </c>
      <c r="Q77" s="340">
        <f t="shared" si="12"/>
        <v>32.006419222868672</v>
      </c>
      <c r="R77" s="342">
        <f t="shared" si="18"/>
        <v>0.78109331212338284</v>
      </c>
      <c r="S77" s="358">
        <f t="shared" si="19"/>
        <v>25</v>
      </c>
    </row>
    <row r="78" spans="1:19" x14ac:dyDescent="0.25">
      <c r="A78" s="17" t="s">
        <v>229</v>
      </c>
      <c r="B78" s="54" t="s">
        <v>32</v>
      </c>
      <c r="C78" s="49" t="s">
        <v>75</v>
      </c>
      <c r="D78" s="270">
        <v>226</v>
      </c>
      <c r="E78" s="270">
        <f t="shared" si="10"/>
        <v>200</v>
      </c>
      <c r="F78" s="271">
        <f t="shared" si="13"/>
        <v>0.88495575221238942</v>
      </c>
      <c r="G78" s="127">
        <v>0.33</v>
      </c>
      <c r="H78" s="14" t="s">
        <v>45</v>
      </c>
      <c r="I78" s="260">
        <f t="shared" si="14"/>
        <v>0.88495575221238942</v>
      </c>
      <c r="J78" s="14" t="s">
        <v>46</v>
      </c>
      <c r="K78" s="47">
        <f t="shared" si="15"/>
        <v>0.66999999999999993</v>
      </c>
      <c r="L78" s="14" t="s">
        <v>45</v>
      </c>
      <c r="M78" s="259">
        <f t="shared" si="11"/>
        <v>0.80877371273712739</v>
      </c>
      <c r="N78" s="14" t="s">
        <v>47</v>
      </c>
      <c r="O78" s="102">
        <f t="shared" si="16"/>
        <v>0.8339137857639638</v>
      </c>
      <c r="P78" s="339">
        <f t="shared" si="17"/>
        <v>188.46451558265582</v>
      </c>
      <c r="Q78" s="340">
        <f t="shared" si="12"/>
        <v>233.46903522997411</v>
      </c>
      <c r="R78" s="342">
        <f t="shared" si="18"/>
        <v>0.85664465012670266</v>
      </c>
      <c r="S78" s="358">
        <f t="shared" si="19"/>
        <v>200</v>
      </c>
    </row>
    <row r="79" spans="1:19" x14ac:dyDescent="0.25">
      <c r="A79" s="17" t="s">
        <v>230</v>
      </c>
      <c r="B79" s="54" t="s">
        <v>33</v>
      </c>
      <c r="C79" s="49" t="s">
        <v>76</v>
      </c>
      <c r="D79" s="270">
        <v>445</v>
      </c>
      <c r="E79" s="270">
        <f t="shared" si="10"/>
        <v>350</v>
      </c>
      <c r="F79" s="271">
        <f t="shared" si="13"/>
        <v>0.7865168539325843</v>
      </c>
      <c r="G79" s="127">
        <v>0.66</v>
      </c>
      <c r="H79" s="14" t="s">
        <v>45</v>
      </c>
      <c r="I79" s="260">
        <f t="shared" si="14"/>
        <v>0.7865168539325843</v>
      </c>
      <c r="J79" s="14" t="s">
        <v>46</v>
      </c>
      <c r="K79" s="47">
        <f t="shared" si="15"/>
        <v>0.33999999999999997</v>
      </c>
      <c r="L79" s="14" t="s">
        <v>45</v>
      </c>
      <c r="M79" s="259">
        <f t="shared" si="11"/>
        <v>0.80877371273712739</v>
      </c>
      <c r="N79" s="14" t="s">
        <v>47</v>
      </c>
      <c r="O79" s="102">
        <f t="shared" si="16"/>
        <v>0.79408418592612895</v>
      </c>
      <c r="P79" s="339">
        <f t="shared" si="17"/>
        <v>353.36746273712737</v>
      </c>
      <c r="Q79" s="340">
        <f t="shared" si="12"/>
        <v>437.75010034033892</v>
      </c>
      <c r="R79" s="342">
        <f t="shared" si="18"/>
        <v>0.79954293494823736</v>
      </c>
      <c r="S79" s="358">
        <f t="shared" si="19"/>
        <v>350</v>
      </c>
    </row>
    <row r="80" spans="1:19" x14ac:dyDescent="0.25">
      <c r="A80" s="17" t="s">
        <v>231</v>
      </c>
      <c r="B80" s="54" t="s">
        <v>116</v>
      </c>
      <c r="C80" s="49" t="s">
        <v>77</v>
      </c>
      <c r="D80" s="270">
        <v>545</v>
      </c>
      <c r="E80" s="270">
        <f t="shared" si="10"/>
        <v>450</v>
      </c>
      <c r="F80" s="271">
        <f t="shared" si="13"/>
        <v>0.82568807339449546</v>
      </c>
      <c r="G80" s="127">
        <v>0.75</v>
      </c>
      <c r="H80" s="14" t="s">
        <v>45</v>
      </c>
      <c r="I80" s="260">
        <f t="shared" si="14"/>
        <v>0.82568807339449546</v>
      </c>
      <c r="J80" s="14" t="s">
        <v>46</v>
      </c>
      <c r="K80" s="47">
        <f t="shared" si="15"/>
        <v>0.25</v>
      </c>
      <c r="L80" s="14" t="s">
        <v>45</v>
      </c>
      <c r="M80" s="259">
        <f t="shared" si="11"/>
        <v>0.80877371273712739</v>
      </c>
      <c r="N80" s="14" t="s">
        <v>47</v>
      </c>
      <c r="O80" s="102">
        <f t="shared" si="16"/>
        <v>0.8214594832301535</v>
      </c>
      <c r="P80" s="339">
        <f t="shared" si="17"/>
        <v>447.69541836043368</v>
      </c>
      <c r="Q80" s="340">
        <f t="shared" si="12"/>
        <v>554.60316801997089</v>
      </c>
      <c r="R80" s="342">
        <f t="shared" si="18"/>
        <v>0.8113909655557463</v>
      </c>
      <c r="S80" s="358">
        <f t="shared" si="19"/>
        <v>450</v>
      </c>
    </row>
    <row r="81" spans="1:19" x14ac:dyDescent="0.25">
      <c r="A81" s="17" t="s">
        <v>232</v>
      </c>
      <c r="B81" s="54" t="s">
        <v>34</v>
      </c>
      <c r="C81" s="76" t="s">
        <v>78</v>
      </c>
      <c r="D81" s="270">
        <v>733</v>
      </c>
      <c r="E81" s="270">
        <f t="shared" si="10"/>
        <v>550</v>
      </c>
      <c r="F81" s="271">
        <f t="shared" si="13"/>
        <v>0.75034106412005452</v>
      </c>
      <c r="G81" s="127">
        <v>0.92</v>
      </c>
      <c r="H81" s="14" t="s">
        <v>45</v>
      </c>
      <c r="I81" s="260">
        <f t="shared" si="14"/>
        <v>0.75034106412005452</v>
      </c>
      <c r="J81" s="14" t="s">
        <v>46</v>
      </c>
      <c r="K81" s="47">
        <f t="shared" si="15"/>
        <v>7.999999999999996E-2</v>
      </c>
      <c r="L81" s="14" t="s">
        <v>45</v>
      </c>
      <c r="M81" s="259">
        <f t="shared" si="11"/>
        <v>0.80877371273712739</v>
      </c>
      <c r="N81" s="14" t="s">
        <v>47</v>
      </c>
      <c r="O81" s="102">
        <f t="shared" si="16"/>
        <v>0.75501567600942032</v>
      </c>
      <c r="P81" s="339">
        <f t="shared" si="17"/>
        <v>553.42649051490514</v>
      </c>
      <c r="Q81" s="340">
        <f t="shared" si="12"/>
        <v>685.58236765030676</v>
      </c>
      <c r="R81" s="342">
        <f t="shared" si="18"/>
        <v>0.80223766822506304</v>
      </c>
      <c r="S81" s="358">
        <f t="shared" si="19"/>
        <v>550</v>
      </c>
    </row>
    <row r="82" spans="1:19" x14ac:dyDescent="0.25">
      <c r="A82" s="17" t="s">
        <v>233</v>
      </c>
      <c r="B82" s="54" t="s">
        <v>117</v>
      </c>
      <c r="C82" s="49" t="s">
        <v>79</v>
      </c>
      <c r="D82" s="270">
        <v>756</v>
      </c>
      <c r="E82" s="270">
        <f t="shared" si="10"/>
        <v>650</v>
      </c>
      <c r="F82" s="271">
        <f t="shared" si="13"/>
        <v>0.85978835978835977</v>
      </c>
      <c r="G82" s="127">
        <v>0.98</v>
      </c>
      <c r="H82" s="14" t="s">
        <v>45</v>
      </c>
      <c r="I82" s="260">
        <f t="shared" si="14"/>
        <v>0.85978835978835977</v>
      </c>
      <c r="J82" s="14" t="s">
        <v>46</v>
      </c>
      <c r="K82" s="47">
        <f t="shared" si="15"/>
        <v>2.0000000000000018E-2</v>
      </c>
      <c r="L82" s="14" t="s">
        <v>45</v>
      </c>
      <c r="M82" s="259">
        <f t="shared" si="11"/>
        <v>0.80877371273712739</v>
      </c>
      <c r="N82" s="14" t="s">
        <v>47</v>
      </c>
      <c r="O82" s="102">
        <f t="shared" si="16"/>
        <v>0.85876806684733509</v>
      </c>
      <c r="P82" s="339">
        <f t="shared" si="17"/>
        <v>649.22865853658527</v>
      </c>
      <c r="Q82" s="340">
        <f t="shared" si="12"/>
        <v>804.26168333905775</v>
      </c>
      <c r="R82" s="342">
        <f t="shared" si="18"/>
        <v>0.80819466283833308</v>
      </c>
      <c r="S82" s="358">
        <f t="shared" si="19"/>
        <v>650</v>
      </c>
    </row>
    <row r="83" spans="1:19" x14ac:dyDescent="0.25">
      <c r="A83" s="267" t="s">
        <v>3</v>
      </c>
      <c r="B83" s="268" t="s">
        <v>266</v>
      </c>
      <c r="C83" s="292"/>
      <c r="D83" s="361">
        <f>SUM(D71:D82)</f>
        <v>5904</v>
      </c>
      <c r="E83" s="362">
        <f>SUM(E71:E82)</f>
        <v>4775</v>
      </c>
      <c r="F83" s="295">
        <f t="shared" si="13"/>
        <v>0.80877371273712739</v>
      </c>
      <c r="G83" s="269">
        <v>1</v>
      </c>
      <c r="H83" s="38"/>
      <c r="I83" s="39"/>
      <c r="J83" s="39"/>
      <c r="K83" s="40"/>
      <c r="L83" s="40"/>
      <c r="M83" s="39"/>
      <c r="N83" s="39"/>
      <c r="O83" s="61"/>
      <c r="P83" s="341">
        <f>SUM(P71:P82)</f>
        <v>4765.9189532520322</v>
      </c>
      <c r="Q83" s="341">
        <f>SUM(Q71:Q82)</f>
        <v>5904</v>
      </c>
      <c r="R83" s="343">
        <f t="shared" si="18"/>
        <v>0.80877371273712739</v>
      </c>
      <c r="S83" s="373">
        <f t="shared" si="19"/>
        <v>4775</v>
      </c>
    </row>
  </sheetData>
  <mergeCells count="5">
    <mergeCell ref="B35:C35"/>
    <mergeCell ref="B34:C34"/>
    <mergeCell ref="T36:U36"/>
    <mergeCell ref="T35:U35"/>
    <mergeCell ref="T34:U34"/>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zoomScaleNormal="100" workbookViewId="0"/>
  </sheetViews>
  <sheetFormatPr defaultRowHeight="15" x14ac:dyDescent="0.25"/>
  <cols>
    <col min="1" max="1" width="11.5703125" customWidth="1"/>
    <col min="2" max="2" width="23.28515625" customWidth="1"/>
    <col min="3" max="3" width="17.42578125" customWidth="1"/>
    <col min="4" max="4" width="23" customWidth="1"/>
    <col min="5" max="5" width="21.5703125" customWidth="1"/>
    <col min="6" max="6" width="18" customWidth="1"/>
    <col min="7" max="7" width="11.7109375" customWidth="1"/>
    <col min="8" max="8" width="12.42578125" customWidth="1"/>
    <col min="9" max="9" width="13.140625" customWidth="1"/>
    <col min="10" max="10" width="11.5703125" customWidth="1"/>
    <col min="11" max="11" width="13.140625" customWidth="1"/>
    <col min="12" max="12" width="14.28515625" customWidth="1"/>
    <col min="13" max="13" width="14.140625" customWidth="1"/>
    <col min="14" max="14" width="13.28515625" customWidth="1"/>
    <col min="15" max="15" width="15" customWidth="1"/>
    <col min="16" max="17" width="13.28515625" customWidth="1"/>
    <col min="18" max="18" width="12" customWidth="1"/>
    <col min="19" max="19" width="23.140625" customWidth="1"/>
    <col min="20" max="20" width="26.85546875" customWidth="1"/>
    <col min="21" max="21" width="13.28515625" customWidth="1"/>
    <col min="22" max="22" width="13.7109375" customWidth="1"/>
    <col min="23" max="23" width="28.85546875" customWidth="1"/>
    <col min="24" max="28" width="13.28515625" customWidth="1"/>
  </cols>
  <sheetData>
    <row r="1" spans="1:1" ht="18.75" x14ac:dyDescent="0.3">
      <c r="A1" s="118" t="s">
        <v>321</v>
      </c>
    </row>
    <row r="30" spans="1:20" x14ac:dyDescent="0.25">
      <c r="A30" s="291" t="s">
        <v>265</v>
      </c>
      <c r="I30" s="291" t="s">
        <v>284</v>
      </c>
    </row>
    <row r="31" spans="1:20" x14ac:dyDescent="0.25">
      <c r="A31" s="95" t="s">
        <v>81</v>
      </c>
      <c r="B31" s="283"/>
      <c r="C31" s="70"/>
      <c r="D31" s="69" t="s">
        <v>39</v>
      </c>
      <c r="E31" s="69"/>
      <c r="F31" s="24"/>
      <c r="G31" s="301"/>
      <c r="H31" s="351" t="s">
        <v>288</v>
      </c>
      <c r="I31" s="376" t="s">
        <v>270</v>
      </c>
      <c r="J31" s="303" t="s">
        <v>163</v>
      </c>
      <c r="K31" s="69"/>
      <c r="L31" s="300"/>
      <c r="N31" s="67"/>
      <c r="O31" s="25"/>
      <c r="P31" s="25"/>
      <c r="R31" s="72"/>
      <c r="S31" s="67" t="s">
        <v>56</v>
      </c>
      <c r="T31" s="67"/>
    </row>
    <row r="32" spans="1:20" x14ac:dyDescent="0.25">
      <c r="A32" s="116" t="s">
        <v>80</v>
      </c>
      <c r="B32" s="283"/>
      <c r="C32" s="70"/>
      <c r="D32" s="5"/>
      <c r="E32" s="5"/>
      <c r="G32" s="301"/>
      <c r="H32" s="352"/>
      <c r="I32" s="377"/>
      <c r="J32" s="303" t="s">
        <v>313</v>
      </c>
      <c r="K32" s="5"/>
      <c r="L32" s="300"/>
      <c r="N32" s="3"/>
      <c r="O32" s="4"/>
      <c r="P32" s="4"/>
      <c r="R32" s="10"/>
      <c r="S32" s="3" t="s">
        <v>55</v>
      </c>
    </row>
    <row r="33" spans="1:20" x14ac:dyDescent="0.25">
      <c r="A33" s="96"/>
      <c r="B33" s="283"/>
      <c r="C33" s="9"/>
      <c r="D33" s="5"/>
      <c r="E33" s="5"/>
      <c r="G33" s="301"/>
      <c r="H33" s="353"/>
      <c r="I33" s="377"/>
      <c r="J33" s="301"/>
      <c r="K33" s="5"/>
      <c r="L33" s="300"/>
      <c r="M33" s="3"/>
      <c r="N33" s="3"/>
      <c r="O33" s="4"/>
      <c r="P33" s="4"/>
      <c r="R33" s="10"/>
      <c r="S33" s="3"/>
    </row>
    <row r="34" spans="1:20" x14ac:dyDescent="0.25">
      <c r="A34" s="37" t="s">
        <v>6</v>
      </c>
      <c r="B34" s="399" t="s">
        <v>7</v>
      </c>
      <c r="C34" s="400"/>
      <c r="D34" s="42" t="s">
        <v>8</v>
      </c>
      <c r="E34" s="37" t="s">
        <v>9</v>
      </c>
      <c r="F34" s="41" t="s">
        <v>10</v>
      </c>
      <c r="G34" s="311" t="s">
        <v>11</v>
      </c>
      <c r="H34" s="354" t="s">
        <v>12</v>
      </c>
      <c r="I34" s="378" t="s">
        <v>13</v>
      </c>
      <c r="J34" s="311" t="s">
        <v>14</v>
      </c>
      <c r="K34" s="311" t="s">
        <v>25</v>
      </c>
      <c r="L34" s="311" t="s">
        <v>26</v>
      </c>
      <c r="M34" s="42" t="s">
        <v>35</v>
      </c>
      <c r="N34" s="207" t="s">
        <v>36</v>
      </c>
      <c r="O34" s="207" t="s">
        <v>37</v>
      </c>
      <c r="P34" s="207" t="s">
        <v>168</v>
      </c>
      <c r="Q34" s="207" t="s">
        <v>261</v>
      </c>
      <c r="R34" s="290" t="s">
        <v>262</v>
      </c>
      <c r="S34" s="405" t="s">
        <v>263</v>
      </c>
      <c r="T34" s="408"/>
    </row>
    <row r="35" spans="1:20" ht="90" x14ac:dyDescent="0.25">
      <c r="A35" s="35"/>
      <c r="B35" s="397" t="s">
        <v>42</v>
      </c>
      <c r="C35" s="398"/>
      <c r="D35" s="44"/>
      <c r="E35" s="36" t="s">
        <v>264</v>
      </c>
      <c r="F35" s="307"/>
      <c r="G35" s="302" t="s">
        <v>176</v>
      </c>
      <c r="H35" s="355" t="s">
        <v>287</v>
      </c>
      <c r="I35" s="379" t="s">
        <v>277</v>
      </c>
      <c r="J35" s="302" t="s">
        <v>210</v>
      </c>
      <c r="K35" s="316" t="s">
        <v>181</v>
      </c>
      <c r="L35" s="302" t="s">
        <v>314</v>
      </c>
      <c r="M35" s="302" t="s">
        <v>316</v>
      </c>
      <c r="N35" s="336" t="s">
        <v>319</v>
      </c>
      <c r="O35" s="302" t="s">
        <v>267</v>
      </c>
      <c r="P35" s="302" t="s">
        <v>315</v>
      </c>
      <c r="R35" s="191" t="s">
        <v>214</v>
      </c>
      <c r="S35" s="403" t="s">
        <v>297</v>
      </c>
      <c r="T35" s="404"/>
    </row>
    <row r="36" spans="1:20" ht="60" x14ac:dyDescent="0.25">
      <c r="A36" s="284" t="s">
        <v>43</v>
      </c>
      <c r="B36" s="266" t="s">
        <v>257</v>
      </c>
      <c r="C36" s="306" t="s">
        <v>258</v>
      </c>
      <c r="D36" s="45" t="s">
        <v>90</v>
      </c>
      <c r="E36" s="16" t="s">
        <v>217</v>
      </c>
      <c r="F36" s="273" t="s">
        <v>24</v>
      </c>
      <c r="G36" s="266" t="s">
        <v>23</v>
      </c>
      <c r="H36" s="356" t="s">
        <v>221</v>
      </c>
      <c r="I36" s="380" t="s">
        <v>52</v>
      </c>
      <c r="J36" s="266" t="s">
        <v>206</v>
      </c>
      <c r="K36" s="310" t="s">
        <v>309</v>
      </c>
      <c r="L36" s="266" t="s">
        <v>312</v>
      </c>
      <c r="M36" s="310" t="s">
        <v>305</v>
      </c>
      <c r="N36" s="45" t="s">
        <v>268</v>
      </c>
      <c r="O36" s="45" t="s">
        <v>311</v>
      </c>
      <c r="P36" s="310" t="s">
        <v>310</v>
      </c>
      <c r="Q36" s="310" t="s">
        <v>317</v>
      </c>
      <c r="R36" s="55" t="s">
        <v>209</v>
      </c>
      <c r="S36" s="401" t="s">
        <v>60</v>
      </c>
      <c r="T36" s="407"/>
    </row>
    <row r="37" spans="1:20" x14ac:dyDescent="0.25">
      <c r="A37" s="285" t="s">
        <v>0</v>
      </c>
      <c r="B37" s="301" t="s">
        <v>27</v>
      </c>
      <c r="C37" s="233" t="s">
        <v>259</v>
      </c>
      <c r="D37" s="331" t="s">
        <v>68</v>
      </c>
      <c r="E37" s="270">
        <v>18</v>
      </c>
      <c r="F37" s="345">
        <v>15</v>
      </c>
      <c r="G37" s="348">
        <f t="shared" ref="G37:G61" si="0">F37/E37</f>
        <v>0.83333333333333337</v>
      </c>
      <c r="H37" s="357" t="s">
        <v>245</v>
      </c>
      <c r="I37" s="381">
        <f>VLOOKUP($B37,$B$72:$R$83,17,FALSE)</f>
        <v>0.78376512190041314</v>
      </c>
      <c r="J37" s="304" t="s">
        <v>0</v>
      </c>
      <c r="K37" s="374">
        <v>1</v>
      </c>
      <c r="L37" s="329">
        <f t="shared" ref="L37:L60" si="1">I37*K37</f>
        <v>0.78376512190041314</v>
      </c>
      <c r="M37" s="192">
        <f t="shared" ref="M37:M60" si="2">L37*E37</f>
        <v>14.107772194207437</v>
      </c>
      <c r="N37" s="288">
        <f>SUM($F$37:$F$38)/SUM($M$37:$M$38)</f>
        <v>1.0576031564579174</v>
      </c>
      <c r="O37" s="18">
        <f>L37*N37</f>
        <v>0.82891246684350128</v>
      </c>
      <c r="P37" s="279">
        <f>M37*N37</f>
        <v>14.920424403183024</v>
      </c>
      <c r="Q37" s="387">
        <f>P37/O37</f>
        <v>18</v>
      </c>
      <c r="R37" s="382">
        <f>+O37/O37</f>
        <v>1</v>
      </c>
      <c r="S37" s="238">
        <f t="shared" ref="S37:S60" si="3">+O37</f>
        <v>0.82891246684350128</v>
      </c>
      <c r="T37" s="108" t="str">
        <f t="shared" ref="T37:T60" si="4">"of 2015 VBT "&amp;D37&amp;" ALB"</f>
        <v>of 2015 VBT MNS RR 70 ALB</v>
      </c>
    </row>
    <row r="38" spans="1:20" x14ac:dyDescent="0.25">
      <c r="A38" s="285" t="s">
        <v>1</v>
      </c>
      <c r="B38" s="301" t="s">
        <v>27</v>
      </c>
      <c r="C38" s="233" t="s">
        <v>260</v>
      </c>
      <c r="D38" s="331" t="s">
        <v>68</v>
      </c>
      <c r="E38" s="270">
        <v>46</v>
      </c>
      <c r="F38" s="345">
        <v>35</v>
      </c>
      <c r="G38" s="348">
        <f t="shared" si="0"/>
        <v>0.76086956521739135</v>
      </c>
      <c r="H38" s="357" t="s">
        <v>245</v>
      </c>
      <c r="I38" s="381">
        <f t="shared" ref="I38:I60" si="5">VLOOKUP($B38,$B$72:$R$83,17,FALSE)</f>
        <v>0.78376512190041314</v>
      </c>
      <c r="J38" s="304" t="s">
        <v>0</v>
      </c>
      <c r="K38" s="272">
        <v>0.92</v>
      </c>
      <c r="L38" s="329">
        <f t="shared" si="1"/>
        <v>0.72106391214838017</v>
      </c>
      <c r="M38" s="192">
        <f t="shared" si="2"/>
        <v>33.16893995882549</v>
      </c>
      <c r="N38" s="288">
        <f>SUM($F$37:$F$38)/SUM($M$37:$M$38)</f>
        <v>1.0576031564579174</v>
      </c>
      <c r="O38" s="18">
        <f t="shared" ref="O38:O60" si="6">L38*N38</f>
        <v>0.76259946949602131</v>
      </c>
      <c r="P38" s="279">
        <f>M38*N38</f>
        <v>35.07957559681698</v>
      </c>
      <c r="Q38" s="387">
        <f t="shared" ref="Q38:Q60" si="7">P38/O38</f>
        <v>46</v>
      </c>
      <c r="R38" s="382">
        <f>+O38/O37</f>
        <v>0.92000000000000015</v>
      </c>
      <c r="S38" s="238">
        <f t="shared" si="3"/>
        <v>0.76259946949602131</v>
      </c>
      <c r="T38" s="108" t="str">
        <f t="shared" si="4"/>
        <v>of 2015 VBT MNS RR 70 ALB</v>
      </c>
    </row>
    <row r="39" spans="1:20" x14ac:dyDescent="0.25">
      <c r="A39" s="285" t="s">
        <v>4</v>
      </c>
      <c r="B39" s="301" t="s">
        <v>28</v>
      </c>
      <c r="C39" s="233" t="s">
        <v>259</v>
      </c>
      <c r="D39" s="331" t="s">
        <v>69</v>
      </c>
      <c r="E39" s="270">
        <v>131</v>
      </c>
      <c r="F39" s="345">
        <v>120</v>
      </c>
      <c r="G39" s="348">
        <f t="shared" si="0"/>
        <v>0.91603053435114501</v>
      </c>
      <c r="H39" s="357" t="s">
        <v>246</v>
      </c>
      <c r="I39" s="381">
        <f t="shared" si="5"/>
        <v>0.83101490451309523</v>
      </c>
      <c r="J39" s="304" t="s">
        <v>4</v>
      </c>
      <c r="K39" s="272">
        <v>1</v>
      </c>
      <c r="L39" s="329">
        <f t="shared" si="1"/>
        <v>0.83101490451309523</v>
      </c>
      <c r="M39" s="192">
        <f t="shared" si="2"/>
        <v>108.86295249121548</v>
      </c>
      <c r="N39" s="288">
        <f>SUM($F$39:$F$40)/SUM($M$39:$M$40)</f>
        <v>1.0860540176966853</v>
      </c>
      <c r="O39" s="18">
        <f t="shared" si="6"/>
        <v>0.90252707581227443</v>
      </c>
      <c r="P39" s="279">
        <f>M39*N39</f>
        <v>118.23104693140795</v>
      </c>
      <c r="Q39" s="387">
        <f t="shared" si="7"/>
        <v>131</v>
      </c>
      <c r="R39" s="382">
        <f>+O39/O39</f>
        <v>1</v>
      </c>
      <c r="S39" s="238">
        <f t="shared" si="3"/>
        <v>0.90252707581227443</v>
      </c>
      <c r="T39" s="108" t="str">
        <f t="shared" si="4"/>
        <v>of 2015 VBT MNS RR 80 ALB</v>
      </c>
    </row>
    <row r="40" spans="1:20" x14ac:dyDescent="0.25">
      <c r="A40" s="285" t="s">
        <v>5</v>
      </c>
      <c r="B40" s="301" t="s">
        <v>28</v>
      </c>
      <c r="C40" s="233" t="s">
        <v>260</v>
      </c>
      <c r="D40" s="331" t="s">
        <v>69</v>
      </c>
      <c r="E40" s="270">
        <v>212</v>
      </c>
      <c r="F40" s="345">
        <v>180</v>
      </c>
      <c r="G40" s="348">
        <f t="shared" si="0"/>
        <v>0.84905660377358494</v>
      </c>
      <c r="H40" s="357" t="s">
        <v>246</v>
      </c>
      <c r="I40" s="381">
        <f t="shared" si="5"/>
        <v>0.83101490451309523</v>
      </c>
      <c r="J40" s="304" t="s">
        <v>4</v>
      </c>
      <c r="K40" s="272">
        <v>0.95</v>
      </c>
      <c r="L40" s="329">
        <f t="shared" si="1"/>
        <v>0.7894641592874404</v>
      </c>
      <c r="M40" s="192">
        <f t="shared" si="2"/>
        <v>167.36640176893738</v>
      </c>
      <c r="N40" s="288">
        <f>SUM($F$39:$F$40)/SUM($M$39:$M$40)</f>
        <v>1.0860540176966853</v>
      </c>
      <c r="O40" s="18">
        <f t="shared" si="6"/>
        <v>0.85740072202166062</v>
      </c>
      <c r="P40" s="279">
        <f t="shared" ref="P40:P60" si="8">M40*N40</f>
        <v>181.76895306859205</v>
      </c>
      <c r="Q40" s="387">
        <f t="shared" si="7"/>
        <v>212</v>
      </c>
      <c r="R40" s="382">
        <f>+O40/O39</f>
        <v>0.95</v>
      </c>
      <c r="S40" s="238">
        <f t="shared" si="3"/>
        <v>0.85740072202166062</v>
      </c>
      <c r="T40" s="108" t="str">
        <f t="shared" si="4"/>
        <v>of 2015 VBT MNS RR 80 ALB</v>
      </c>
    </row>
    <row r="41" spans="1:20" x14ac:dyDescent="0.25">
      <c r="A41" s="285" t="s">
        <v>15</v>
      </c>
      <c r="B41" s="301" t="s">
        <v>29</v>
      </c>
      <c r="C41" s="233" t="s">
        <v>259</v>
      </c>
      <c r="D41" s="331" t="s">
        <v>70</v>
      </c>
      <c r="E41" s="270">
        <v>245</v>
      </c>
      <c r="F41" s="345">
        <v>200</v>
      </c>
      <c r="G41" s="348">
        <f t="shared" si="0"/>
        <v>0.81632653061224492</v>
      </c>
      <c r="H41" s="357" t="s">
        <v>247</v>
      </c>
      <c r="I41" s="381">
        <f t="shared" si="5"/>
        <v>0.80173487092951479</v>
      </c>
      <c r="J41" s="304" t="s">
        <v>15</v>
      </c>
      <c r="K41" s="272">
        <v>1</v>
      </c>
      <c r="L41" s="329">
        <f t="shared" si="1"/>
        <v>0.80173487092951479</v>
      </c>
      <c r="M41" s="192">
        <f t="shared" si="2"/>
        <v>196.42504337773113</v>
      </c>
      <c r="N41" s="288">
        <f>SUM($F$41:$F$42)/SUM($M$41:$M$42)</f>
        <v>0.99376168104628115</v>
      </c>
      <c r="O41" s="18">
        <f t="shared" si="6"/>
        <v>0.7967333930883379</v>
      </c>
      <c r="P41" s="279">
        <f t="shared" si="8"/>
        <v>195.19968130664279</v>
      </c>
      <c r="Q41" s="387">
        <f t="shared" si="7"/>
        <v>245</v>
      </c>
      <c r="R41" s="382">
        <f>+O41/O41</f>
        <v>1</v>
      </c>
      <c r="S41" s="238">
        <f t="shared" si="3"/>
        <v>0.7967333930883379</v>
      </c>
      <c r="T41" s="108" t="str">
        <f t="shared" si="4"/>
        <v>of 2015 VBT MNS RR 90 ALB</v>
      </c>
    </row>
    <row r="42" spans="1:20" x14ac:dyDescent="0.25">
      <c r="A42" s="285" t="s">
        <v>16</v>
      </c>
      <c r="B42" s="301" t="s">
        <v>29</v>
      </c>
      <c r="C42" s="233" t="s">
        <v>260</v>
      </c>
      <c r="D42" s="331" t="s">
        <v>70</v>
      </c>
      <c r="E42" s="270">
        <v>265</v>
      </c>
      <c r="F42" s="345">
        <v>200</v>
      </c>
      <c r="G42" s="348">
        <f t="shared" si="0"/>
        <v>0.75471698113207553</v>
      </c>
      <c r="H42" s="357" t="s">
        <v>247</v>
      </c>
      <c r="I42" s="381">
        <f t="shared" si="5"/>
        <v>0.80173487092951479</v>
      </c>
      <c r="J42" s="304" t="s">
        <v>15</v>
      </c>
      <c r="K42" s="272">
        <v>0.97</v>
      </c>
      <c r="L42" s="329">
        <f t="shared" si="1"/>
        <v>0.77768282480162931</v>
      </c>
      <c r="M42" s="192">
        <f t="shared" si="2"/>
        <v>206.08594857243176</v>
      </c>
      <c r="N42" s="288">
        <f>SUM($F$41:$F$42)/SUM($M$41:$M$42)</f>
        <v>0.99376168104628115</v>
      </c>
      <c r="O42" s="18">
        <f t="shared" si="6"/>
        <v>0.77283139129568768</v>
      </c>
      <c r="P42" s="279">
        <f t="shared" si="8"/>
        <v>204.80031869335724</v>
      </c>
      <c r="Q42" s="387">
        <f t="shared" si="7"/>
        <v>265</v>
      </c>
      <c r="R42" s="382">
        <f>+O42/O41</f>
        <v>0.96999999999999986</v>
      </c>
      <c r="S42" s="238">
        <f t="shared" si="3"/>
        <v>0.77283139129568768</v>
      </c>
      <c r="T42" s="108" t="str">
        <f t="shared" si="4"/>
        <v>of 2015 VBT MNS RR 90 ALB</v>
      </c>
    </row>
    <row r="43" spans="1:20" x14ac:dyDescent="0.25">
      <c r="A43" s="285" t="s">
        <v>17</v>
      </c>
      <c r="B43" s="301" t="s">
        <v>114</v>
      </c>
      <c r="C43" s="233" t="s">
        <v>259</v>
      </c>
      <c r="D43" s="331" t="s">
        <v>71</v>
      </c>
      <c r="E43" s="270">
        <v>297</v>
      </c>
      <c r="F43" s="345">
        <v>250</v>
      </c>
      <c r="G43" s="348">
        <f t="shared" si="0"/>
        <v>0.84175084175084181</v>
      </c>
      <c r="H43" s="357" t="s">
        <v>248</v>
      </c>
      <c r="I43" s="381">
        <f t="shared" si="5"/>
        <v>0.80741084862034873</v>
      </c>
      <c r="J43" s="304" t="s">
        <v>17</v>
      </c>
      <c r="K43" s="272">
        <v>1</v>
      </c>
      <c r="L43" s="329">
        <f t="shared" si="1"/>
        <v>0.80741084862034873</v>
      </c>
      <c r="M43" s="192">
        <f t="shared" si="2"/>
        <v>239.80102204024357</v>
      </c>
      <c r="N43" s="288">
        <f>SUM($F$43:$F$44)/SUM($M$43:$M$44)</f>
        <v>1.0195314713739592</v>
      </c>
      <c r="O43" s="18">
        <f t="shared" si="6"/>
        <v>0.82318077049720118</v>
      </c>
      <c r="P43" s="279">
        <f t="shared" si="8"/>
        <v>244.48468883766873</v>
      </c>
      <c r="Q43" s="387">
        <f t="shared" si="7"/>
        <v>297</v>
      </c>
      <c r="R43" s="382">
        <f>+O43/O43</f>
        <v>1</v>
      </c>
      <c r="S43" s="238">
        <f t="shared" si="3"/>
        <v>0.82318077049720118</v>
      </c>
      <c r="T43" s="108" t="str">
        <f t="shared" si="4"/>
        <v>of 2015 VBT MNS RR 110 ALB</v>
      </c>
    </row>
    <row r="44" spans="1:20" x14ac:dyDescent="0.25">
      <c r="A44" s="285" t="s">
        <v>18</v>
      </c>
      <c r="B44" s="301" t="s">
        <v>114</v>
      </c>
      <c r="C44" s="233" t="s">
        <v>260</v>
      </c>
      <c r="D44" s="331" t="s">
        <v>71</v>
      </c>
      <c r="E44" s="270">
        <v>320</v>
      </c>
      <c r="F44" s="345">
        <v>250</v>
      </c>
      <c r="G44" s="348">
        <f t="shared" si="0"/>
        <v>0.78125</v>
      </c>
      <c r="H44" s="357" t="s">
        <v>248</v>
      </c>
      <c r="I44" s="381">
        <f t="shared" si="5"/>
        <v>0.80741084862034873</v>
      </c>
      <c r="J44" s="304" t="s">
        <v>17</v>
      </c>
      <c r="K44" s="272">
        <v>0.97</v>
      </c>
      <c r="L44" s="329">
        <f t="shared" si="1"/>
        <v>0.78318852316173826</v>
      </c>
      <c r="M44" s="192">
        <f t="shared" si="2"/>
        <v>250.62032741175625</v>
      </c>
      <c r="N44" s="288">
        <f>SUM($F$43:$F$44)/SUM($M$43:$M$44)</f>
        <v>1.0195314713739592</v>
      </c>
      <c r="O44" s="18">
        <f t="shared" si="6"/>
        <v>0.79848534738228505</v>
      </c>
      <c r="P44" s="279">
        <f t="shared" si="8"/>
        <v>255.51531116233124</v>
      </c>
      <c r="Q44" s="387">
        <f t="shared" si="7"/>
        <v>320.00000000000006</v>
      </c>
      <c r="R44" s="382">
        <f>+O44/O43</f>
        <v>0.96999999999999986</v>
      </c>
      <c r="S44" s="238">
        <f t="shared" si="3"/>
        <v>0.79848534738228505</v>
      </c>
      <c r="T44" s="108" t="str">
        <f t="shared" si="4"/>
        <v>of 2015 VBT MNS RR 110 ALB</v>
      </c>
    </row>
    <row r="45" spans="1:20" x14ac:dyDescent="0.25">
      <c r="A45" s="285" t="s">
        <v>19</v>
      </c>
      <c r="B45" s="301" t="s">
        <v>30</v>
      </c>
      <c r="C45" s="233" t="s">
        <v>259</v>
      </c>
      <c r="D45" s="332" t="s">
        <v>72</v>
      </c>
      <c r="E45" s="270">
        <v>310</v>
      </c>
      <c r="F45" s="345">
        <v>240</v>
      </c>
      <c r="G45" s="348">
        <f t="shared" si="0"/>
        <v>0.77419354838709675</v>
      </c>
      <c r="H45" s="357" t="s">
        <v>249</v>
      </c>
      <c r="I45" s="381">
        <f t="shared" si="5"/>
        <v>0.80408499104435516</v>
      </c>
      <c r="J45" s="304" t="s">
        <v>19</v>
      </c>
      <c r="K45" s="272">
        <v>1</v>
      </c>
      <c r="L45" s="329">
        <f t="shared" si="1"/>
        <v>0.80408499104435516</v>
      </c>
      <c r="M45" s="192">
        <f t="shared" si="2"/>
        <v>249.2663472237501</v>
      </c>
      <c r="N45" s="288">
        <f>SUM($F$45:$F$46)/SUM($M$45:$M$46)</f>
        <v>1.020221187866353</v>
      </c>
      <c r="O45" s="18">
        <f t="shared" si="6"/>
        <v>0.82034454470877782</v>
      </c>
      <c r="P45" s="279">
        <f t="shared" si="8"/>
        <v>254.30680885972112</v>
      </c>
      <c r="Q45" s="387">
        <f t="shared" si="7"/>
        <v>310</v>
      </c>
      <c r="R45" s="382">
        <f>+O45/O45</f>
        <v>1</v>
      </c>
      <c r="S45" s="238">
        <f t="shared" si="3"/>
        <v>0.82034454470877782</v>
      </c>
      <c r="T45" s="108" t="str">
        <f t="shared" si="4"/>
        <v>of 2015 VBT MSM RR 75 ALB</v>
      </c>
    </row>
    <row r="46" spans="1:20" x14ac:dyDescent="0.25">
      <c r="A46" s="285" t="s">
        <v>20</v>
      </c>
      <c r="B46" s="301" t="s">
        <v>30</v>
      </c>
      <c r="C46" s="233" t="s">
        <v>260</v>
      </c>
      <c r="D46" s="332" t="s">
        <v>72</v>
      </c>
      <c r="E46" s="270">
        <v>490</v>
      </c>
      <c r="F46" s="345">
        <v>360</v>
      </c>
      <c r="G46" s="348">
        <f t="shared" si="0"/>
        <v>0.73469387755102045</v>
      </c>
      <c r="H46" s="357" t="s">
        <v>249</v>
      </c>
      <c r="I46" s="381">
        <f t="shared" si="5"/>
        <v>0.80408499104435516</v>
      </c>
      <c r="J46" s="304" t="s">
        <v>19</v>
      </c>
      <c r="K46" s="272">
        <v>0.86</v>
      </c>
      <c r="L46" s="329">
        <f t="shared" si="1"/>
        <v>0.69151309229814539</v>
      </c>
      <c r="M46" s="192">
        <f t="shared" si="2"/>
        <v>338.84141522609121</v>
      </c>
      <c r="N46" s="288">
        <f>SUM($F$45:$F$46)/SUM($M$45:$M$46)</f>
        <v>1.020221187866353</v>
      </c>
      <c r="O46" s="18">
        <f t="shared" si="6"/>
        <v>0.70549630844954891</v>
      </c>
      <c r="P46" s="279">
        <f t="shared" si="8"/>
        <v>345.69319114027894</v>
      </c>
      <c r="Q46" s="387">
        <f t="shared" si="7"/>
        <v>489.99999999999994</v>
      </c>
      <c r="R46" s="382">
        <f>+O46/O45</f>
        <v>0.86</v>
      </c>
      <c r="S46" s="238">
        <f t="shared" si="3"/>
        <v>0.70549630844954891</v>
      </c>
      <c r="T46" s="108" t="str">
        <f t="shared" si="4"/>
        <v>of 2015 VBT MSM RR 75 ALB</v>
      </c>
    </row>
    <row r="47" spans="1:20" x14ac:dyDescent="0.25">
      <c r="A47" s="285" t="s">
        <v>21</v>
      </c>
      <c r="B47" s="301" t="s">
        <v>115</v>
      </c>
      <c r="C47" s="233" t="s">
        <v>259</v>
      </c>
      <c r="D47" s="331" t="s">
        <v>73</v>
      </c>
      <c r="E47" s="270">
        <v>403</v>
      </c>
      <c r="F47" s="345">
        <v>350</v>
      </c>
      <c r="G47" s="348">
        <f t="shared" si="0"/>
        <v>0.86848635235732008</v>
      </c>
      <c r="H47" s="357" t="s">
        <v>250</v>
      </c>
      <c r="I47" s="381">
        <f t="shared" si="5"/>
        <v>0.80723559506301357</v>
      </c>
      <c r="J47" s="304" t="s">
        <v>21</v>
      </c>
      <c r="K47" s="272">
        <v>1</v>
      </c>
      <c r="L47" s="329">
        <f t="shared" si="1"/>
        <v>0.80723559506301357</v>
      </c>
      <c r="M47" s="192">
        <f t="shared" si="2"/>
        <v>325.31594481039446</v>
      </c>
      <c r="N47" s="288">
        <f>SUM($F$47:$F$48)/SUM($M$47:$M$48)</f>
        <v>1.0518643908664302</v>
      </c>
      <c r="O47" s="18">
        <f t="shared" si="6"/>
        <v>0.84910237748665707</v>
      </c>
      <c r="P47" s="279">
        <f t="shared" si="8"/>
        <v>342.18825812712282</v>
      </c>
      <c r="Q47" s="387">
        <f t="shared" si="7"/>
        <v>403</v>
      </c>
      <c r="R47" s="382">
        <f>+O47/O47</f>
        <v>1</v>
      </c>
      <c r="S47" s="238">
        <f t="shared" si="3"/>
        <v>0.84910237748665707</v>
      </c>
      <c r="T47" s="108" t="str">
        <f t="shared" si="4"/>
        <v>of 2015 VBT MSM RR 125 ALB</v>
      </c>
    </row>
    <row r="48" spans="1:20" x14ac:dyDescent="0.25">
      <c r="A48" s="285" t="s">
        <v>22</v>
      </c>
      <c r="B48" s="301" t="s">
        <v>115</v>
      </c>
      <c r="C48" s="233" t="s">
        <v>260</v>
      </c>
      <c r="D48" s="331" t="s">
        <v>73</v>
      </c>
      <c r="E48" s="270">
        <v>430</v>
      </c>
      <c r="F48" s="345">
        <v>350</v>
      </c>
      <c r="G48" s="348">
        <f t="shared" si="0"/>
        <v>0.81395348837209303</v>
      </c>
      <c r="H48" s="357" t="s">
        <v>250</v>
      </c>
      <c r="I48" s="381">
        <f t="shared" si="5"/>
        <v>0.80723559506301357</v>
      </c>
      <c r="J48" s="304" t="s">
        <v>21</v>
      </c>
      <c r="K48" s="272">
        <v>0.98</v>
      </c>
      <c r="L48" s="329">
        <f t="shared" si="1"/>
        <v>0.79109088316175324</v>
      </c>
      <c r="M48" s="192">
        <f t="shared" si="2"/>
        <v>340.16907975955388</v>
      </c>
      <c r="N48" s="288">
        <f>SUM($F$47:$F$48)/SUM($M$47:$M$48)</f>
        <v>1.0518643908664302</v>
      </c>
      <c r="O48" s="18">
        <f t="shared" si="6"/>
        <v>0.83212032993692386</v>
      </c>
      <c r="P48" s="279">
        <f t="shared" si="8"/>
        <v>357.81174187287729</v>
      </c>
      <c r="Q48" s="387">
        <f t="shared" si="7"/>
        <v>430.00000000000006</v>
      </c>
      <c r="R48" s="382">
        <f>+O48/O47</f>
        <v>0.98</v>
      </c>
      <c r="S48" s="238">
        <f t="shared" si="3"/>
        <v>0.83212032993692386</v>
      </c>
      <c r="T48" s="108" t="str">
        <f t="shared" si="4"/>
        <v>of 2015 VBT MSM RR 125 ALB</v>
      </c>
    </row>
    <row r="49" spans="1:21" x14ac:dyDescent="0.25">
      <c r="A49" s="285" t="s">
        <v>177</v>
      </c>
      <c r="B49" s="301" t="s">
        <v>31</v>
      </c>
      <c r="C49" s="233" t="s">
        <v>259</v>
      </c>
      <c r="D49" s="332" t="s">
        <v>74</v>
      </c>
      <c r="E49" s="270">
        <v>12</v>
      </c>
      <c r="F49" s="345">
        <v>10</v>
      </c>
      <c r="G49" s="348">
        <f t="shared" si="0"/>
        <v>0.83333333333333337</v>
      </c>
      <c r="H49" s="357" t="s">
        <v>251</v>
      </c>
      <c r="I49" s="381">
        <f t="shared" si="5"/>
        <v>0.78109331212338284</v>
      </c>
      <c r="J49" s="304" t="s">
        <v>177</v>
      </c>
      <c r="K49" s="374">
        <v>1</v>
      </c>
      <c r="L49" s="329">
        <f t="shared" si="1"/>
        <v>0.78109331212338284</v>
      </c>
      <c r="M49" s="192">
        <f t="shared" si="2"/>
        <v>9.3731197454805937</v>
      </c>
      <c r="N49" s="288">
        <f>SUM($F$49:$F$50)/SUM($M$49:$M$50)</f>
        <v>1.0528427375943641</v>
      </c>
      <c r="O49" s="18">
        <f t="shared" si="6"/>
        <v>0.82236842105263153</v>
      </c>
      <c r="P49" s="279">
        <f t="shared" si="8"/>
        <v>9.868421052631577</v>
      </c>
      <c r="Q49" s="387">
        <f t="shared" si="7"/>
        <v>11.999999999999998</v>
      </c>
      <c r="R49" s="382">
        <f>+O49/O49</f>
        <v>1</v>
      </c>
      <c r="S49" s="238">
        <f t="shared" si="3"/>
        <v>0.82236842105263153</v>
      </c>
      <c r="T49" s="108" t="str">
        <f t="shared" si="4"/>
        <v>of 2015 VBT FNS RR 70 ALB</v>
      </c>
    </row>
    <row r="50" spans="1:21" x14ac:dyDescent="0.25">
      <c r="A50" s="285" t="s">
        <v>178</v>
      </c>
      <c r="B50" s="301" t="s">
        <v>31</v>
      </c>
      <c r="C50" s="233" t="s">
        <v>260</v>
      </c>
      <c r="D50" s="332" t="s">
        <v>74</v>
      </c>
      <c r="E50" s="270">
        <v>20</v>
      </c>
      <c r="F50" s="345">
        <v>15</v>
      </c>
      <c r="G50" s="348">
        <f t="shared" si="0"/>
        <v>0.75</v>
      </c>
      <c r="H50" s="357" t="s">
        <v>251</v>
      </c>
      <c r="I50" s="381">
        <f t="shared" si="5"/>
        <v>0.78109331212338284</v>
      </c>
      <c r="J50" s="304" t="s">
        <v>177</v>
      </c>
      <c r="K50" s="272">
        <v>0.92</v>
      </c>
      <c r="L50" s="329">
        <f t="shared" si="1"/>
        <v>0.71860584715351228</v>
      </c>
      <c r="M50" s="192">
        <f t="shared" si="2"/>
        <v>14.372116943070246</v>
      </c>
      <c r="N50" s="288">
        <f>SUM($F$49:$F$50)/SUM($M$49:$M$50)</f>
        <v>1.0528427375943641</v>
      </c>
      <c r="O50" s="18">
        <f t="shared" si="6"/>
        <v>0.75657894736842102</v>
      </c>
      <c r="P50" s="279">
        <f t="shared" si="8"/>
        <v>15.131578947368421</v>
      </c>
      <c r="Q50" s="387">
        <f t="shared" si="7"/>
        <v>20</v>
      </c>
      <c r="R50" s="382">
        <f>+O50/O49</f>
        <v>0.92</v>
      </c>
      <c r="S50" s="238">
        <f t="shared" si="3"/>
        <v>0.75657894736842102</v>
      </c>
      <c r="T50" s="108" t="str">
        <f t="shared" si="4"/>
        <v>of 2015 VBT FNS RR 70 ALB</v>
      </c>
    </row>
    <row r="51" spans="1:21" x14ac:dyDescent="0.25">
      <c r="A51" s="285" t="s">
        <v>234</v>
      </c>
      <c r="B51" s="301" t="s">
        <v>32</v>
      </c>
      <c r="C51" s="233" t="s">
        <v>259</v>
      </c>
      <c r="D51" s="331" t="s">
        <v>75</v>
      </c>
      <c r="E51" s="270">
        <v>86</v>
      </c>
      <c r="F51" s="345">
        <v>80</v>
      </c>
      <c r="G51" s="348">
        <f t="shared" si="0"/>
        <v>0.93023255813953487</v>
      </c>
      <c r="H51" s="357" t="s">
        <v>252</v>
      </c>
      <c r="I51" s="381">
        <f t="shared" si="5"/>
        <v>0.85664465012670266</v>
      </c>
      <c r="J51" s="304" t="s">
        <v>234</v>
      </c>
      <c r="K51" s="272">
        <v>1</v>
      </c>
      <c r="L51" s="329">
        <f t="shared" si="1"/>
        <v>0.85664465012670266</v>
      </c>
      <c r="M51" s="192">
        <f t="shared" si="2"/>
        <v>73.671439910896424</v>
      </c>
      <c r="N51" s="288">
        <f>SUM($F$51:$F$52)/SUM($M$51:$M$52)</f>
        <v>1.0660686540181468</v>
      </c>
      <c r="O51" s="18">
        <f t="shared" si="6"/>
        <v>0.91324200913242015</v>
      </c>
      <c r="P51" s="279">
        <f t="shared" si="8"/>
        <v>78.538812785388131</v>
      </c>
      <c r="Q51" s="387">
        <f t="shared" si="7"/>
        <v>86</v>
      </c>
      <c r="R51" s="382">
        <f>+O51/O51</f>
        <v>1</v>
      </c>
      <c r="S51" s="238">
        <f t="shared" si="3"/>
        <v>0.91324200913242015</v>
      </c>
      <c r="T51" s="108" t="str">
        <f t="shared" si="4"/>
        <v>of 2015 VBT FNS RR 80 ALB</v>
      </c>
    </row>
    <row r="52" spans="1:21" x14ac:dyDescent="0.25">
      <c r="A52" s="285" t="s">
        <v>235</v>
      </c>
      <c r="B52" s="301" t="s">
        <v>32</v>
      </c>
      <c r="C52" s="233" t="s">
        <v>260</v>
      </c>
      <c r="D52" s="331" t="s">
        <v>75</v>
      </c>
      <c r="E52" s="270">
        <v>140</v>
      </c>
      <c r="F52" s="345">
        <v>120</v>
      </c>
      <c r="G52" s="348">
        <f t="shared" si="0"/>
        <v>0.8571428571428571</v>
      </c>
      <c r="H52" s="357" t="s">
        <v>252</v>
      </c>
      <c r="I52" s="381">
        <f t="shared" si="5"/>
        <v>0.85664465012670266</v>
      </c>
      <c r="J52" s="304" t="s">
        <v>234</v>
      </c>
      <c r="K52" s="272">
        <v>0.95</v>
      </c>
      <c r="L52" s="329">
        <f t="shared" si="1"/>
        <v>0.81381241762036749</v>
      </c>
      <c r="M52" s="192">
        <f t="shared" si="2"/>
        <v>113.93373846685145</v>
      </c>
      <c r="N52" s="288">
        <f>SUM($F$51:$F$52)/SUM($M$51:$M$52)</f>
        <v>1.0660686540181468</v>
      </c>
      <c r="O52" s="18">
        <f t="shared" si="6"/>
        <v>0.86757990867579915</v>
      </c>
      <c r="P52" s="279">
        <f t="shared" si="8"/>
        <v>121.46118721461188</v>
      </c>
      <c r="Q52" s="387">
        <f t="shared" si="7"/>
        <v>140</v>
      </c>
      <c r="R52" s="382">
        <f>+O52/O51</f>
        <v>0.95</v>
      </c>
      <c r="S52" s="238">
        <f t="shared" si="3"/>
        <v>0.86757990867579915</v>
      </c>
      <c r="T52" s="108" t="str">
        <f t="shared" si="4"/>
        <v>of 2015 VBT FNS RR 80 ALB</v>
      </c>
    </row>
    <row r="53" spans="1:21" x14ac:dyDescent="0.25">
      <c r="A53" s="285" t="s">
        <v>236</v>
      </c>
      <c r="B53" s="301" t="s">
        <v>33</v>
      </c>
      <c r="C53" s="233" t="s">
        <v>259</v>
      </c>
      <c r="D53" s="331" t="s">
        <v>76</v>
      </c>
      <c r="E53" s="270">
        <v>215</v>
      </c>
      <c r="F53" s="345">
        <v>175</v>
      </c>
      <c r="G53" s="348">
        <f t="shared" si="0"/>
        <v>0.81395348837209303</v>
      </c>
      <c r="H53" s="357" t="s">
        <v>253</v>
      </c>
      <c r="I53" s="381">
        <f t="shared" si="5"/>
        <v>0.79954293494823736</v>
      </c>
      <c r="J53" s="304" t="s">
        <v>236</v>
      </c>
      <c r="K53" s="272">
        <v>1</v>
      </c>
      <c r="L53" s="329">
        <f t="shared" si="1"/>
        <v>0.79954293494823736</v>
      </c>
      <c r="M53" s="192">
        <f t="shared" si="2"/>
        <v>171.90173101387103</v>
      </c>
      <c r="N53" s="288">
        <f>SUM($F$53:$F$54)/SUM($M$53:$M$54)</f>
        <v>0.99920132467550549</v>
      </c>
      <c r="O53" s="18">
        <f t="shared" si="6"/>
        <v>0.79890435973522023</v>
      </c>
      <c r="P53" s="279">
        <f t="shared" si="8"/>
        <v>171.76443734307236</v>
      </c>
      <c r="Q53" s="387">
        <f t="shared" si="7"/>
        <v>215</v>
      </c>
      <c r="R53" s="382">
        <f>+O53/O53</f>
        <v>1</v>
      </c>
      <c r="S53" s="238">
        <f t="shared" si="3"/>
        <v>0.79890435973522023</v>
      </c>
      <c r="T53" s="108" t="str">
        <f t="shared" si="4"/>
        <v>of 2015 VBT FNS RR 90 ALB</v>
      </c>
    </row>
    <row r="54" spans="1:21" x14ac:dyDescent="0.25">
      <c r="A54" s="285" t="s">
        <v>237</v>
      </c>
      <c r="B54" s="301" t="s">
        <v>33</v>
      </c>
      <c r="C54" s="233" t="s">
        <v>260</v>
      </c>
      <c r="D54" s="331" t="s">
        <v>76</v>
      </c>
      <c r="E54" s="270">
        <v>230</v>
      </c>
      <c r="F54" s="345">
        <v>175</v>
      </c>
      <c r="G54" s="348">
        <f t="shared" si="0"/>
        <v>0.76086956521739135</v>
      </c>
      <c r="H54" s="357" t="s">
        <v>253</v>
      </c>
      <c r="I54" s="381">
        <f t="shared" si="5"/>
        <v>0.79954293494823736</v>
      </c>
      <c r="J54" s="304" t="s">
        <v>236</v>
      </c>
      <c r="K54" s="272">
        <v>0.97</v>
      </c>
      <c r="L54" s="329">
        <f t="shared" si="1"/>
        <v>0.7755566468997902</v>
      </c>
      <c r="M54" s="192">
        <f t="shared" si="2"/>
        <v>178.37802878695175</v>
      </c>
      <c r="N54" s="288">
        <f>SUM($F$53:$F$54)/SUM($M$53:$M$54)</f>
        <v>0.99920132467550549</v>
      </c>
      <c r="O54" s="18">
        <f t="shared" si="6"/>
        <v>0.77493722894316364</v>
      </c>
      <c r="P54" s="279">
        <f t="shared" si="8"/>
        <v>178.23556265692764</v>
      </c>
      <c r="Q54" s="387">
        <f t="shared" si="7"/>
        <v>230</v>
      </c>
      <c r="R54" s="382">
        <f>+O54/O53</f>
        <v>0.97</v>
      </c>
      <c r="S54" s="238">
        <f t="shared" si="3"/>
        <v>0.77493722894316364</v>
      </c>
      <c r="T54" s="108" t="str">
        <f t="shared" si="4"/>
        <v>of 2015 VBT FNS RR 90 ALB</v>
      </c>
    </row>
    <row r="55" spans="1:21" x14ac:dyDescent="0.25">
      <c r="A55" s="285" t="s">
        <v>238</v>
      </c>
      <c r="B55" s="301" t="s">
        <v>116</v>
      </c>
      <c r="C55" s="233" t="s">
        <v>259</v>
      </c>
      <c r="D55" s="331" t="s">
        <v>77</v>
      </c>
      <c r="E55" s="270">
        <v>265</v>
      </c>
      <c r="F55" s="345">
        <v>225</v>
      </c>
      <c r="G55" s="348">
        <f t="shared" si="0"/>
        <v>0.84905660377358494</v>
      </c>
      <c r="H55" s="357" t="s">
        <v>254</v>
      </c>
      <c r="I55" s="381">
        <f t="shared" si="5"/>
        <v>0.8113909655557463</v>
      </c>
      <c r="J55" s="304" t="s">
        <v>238</v>
      </c>
      <c r="K55" s="272">
        <v>1</v>
      </c>
      <c r="L55" s="329">
        <f t="shared" si="1"/>
        <v>0.8113909655557463</v>
      </c>
      <c r="M55" s="192">
        <f t="shared" si="2"/>
        <v>215.01860587227276</v>
      </c>
      <c r="N55" s="288">
        <f>SUM($F$55:$F$56)/SUM($M$55:$M$56)</f>
        <v>1.0335504435705758</v>
      </c>
      <c r="O55" s="18">
        <f t="shared" si="6"/>
        <v>0.83861349235929938</v>
      </c>
      <c r="P55" s="279">
        <f t="shared" si="8"/>
        <v>222.23257547521433</v>
      </c>
      <c r="Q55" s="387">
        <f t="shared" si="7"/>
        <v>265</v>
      </c>
      <c r="R55" s="382">
        <f>+O55/O55</f>
        <v>1</v>
      </c>
      <c r="S55" s="238">
        <f t="shared" si="3"/>
        <v>0.83861349235929938</v>
      </c>
      <c r="T55" s="108" t="str">
        <f t="shared" si="4"/>
        <v>of 2015 VBT FNS RR 110 ALB</v>
      </c>
    </row>
    <row r="56" spans="1:21" x14ac:dyDescent="0.25">
      <c r="A56" s="285" t="s">
        <v>239</v>
      </c>
      <c r="B56" s="301" t="s">
        <v>116</v>
      </c>
      <c r="C56" s="233" t="s">
        <v>260</v>
      </c>
      <c r="D56" s="331" t="s">
        <v>77</v>
      </c>
      <c r="E56" s="270">
        <v>280</v>
      </c>
      <c r="F56" s="345">
        <v>225</v>
      </c>
      <c r="G56" s="348">
        <f t="shared" si="0"/>
        <v>0.8035714285714286</v>
      </c>
      <c r="H56" s="357" t="s">
        <v>254</v>
      </c>
      <c r="I56" s="381">
        <f t="shared" si="5"/>
        <v>0.8113909655557463</v>
      </c>
      <c r="J56" s="304" t="s">
        <v>238</v>
      </c>
      <c r="K56" s="272">
        <v>0.97</v>
      </c>
      <c r="L56" s="329">
        <f t="shared" si="1"/>
        <v>0.78704923658907389</v>
      </c>
      <c r="M56" s="192">
        <f t="shared" si="2"/>
        <v>220.37378624494067</v>
      </c>
      <c r="N56" s="288">
        <f>SUM($F$55:$F$56)/SUM($M$55:$M$56)</f>
        <v>1.0335504435705758</v>
      </c>
      <c r="O56" s="18">
        <f t="shared" si="6"/>
        <v>0.81345508758852036</v>
      </c>
      <c r="P56" s="279">
        <f t="shared" si="8"/>
        <v>227.7674245247857</v>
      </c>
      <c r="Q56" s="387">
        <f t="shared" si="7"/>
        <v>280</v>
      </c>
      <c r="R56" s="382">
        <f>+O56/O55</f>
        <v>0.97</v>
      </c>
      <c r="S56" s="238">
        <f t="shared" si="3"/>
        <v>0.81345508758852036</v>
      </c>
      <c r="T56" s="108" t="str">
        <f t="shared" si="4"/>
        <v>of 2015 VBT FNS RR 110 ALB</v>
      </c>
    </row>
    <row r="57" spans="1:21" x14ac:dyDescent="0.25">
      <c r="A57" s="285" t="s">
        <v>240</v>
      </c>
      <c r="B57" s="301" t="s">
        <v>34</v>
      </c>
      <c r="C57" s="233" t="s">
        <v>259</v>
      </c>
      <c r="D57" s="332" t="s">
        <v>78</v>
      </c>
      <c r="E57" s="270">
        <v>278</v>
      </c>
      <c r="F57" s="345">
        <v>220</v>
      </c>
      <c r="G57" s="348">
        <f t="shared" si="0"/>
        <v>0.79136690647482011</v>
      </c>
      <c r="H57" s="357" t="s">
        <v>255</v>
      </c>
      <c r="I57" s="381">
        <f t="shared" si="5"/>
        <v>0.80223766822506304</v>
      </c>
      <c r="J57" s="304" t="s">
        <v>240</v>
      </c>
      <c r="K57" s="272">
        <v>1</v>
      </c>
      <c r="L57" s="329">
        <f t="shared" si="1"/>
        <v>0.80223766822506304</v>
      </c>
      <c r="M57" s="192">
        <f t="shared" si="2"/>
        <v>223.02207176656754</v>
      </c>
      <c r="N57" s="288">
        <f>SUM($F$57:$F$58)/SUM($M$57:$M$58)</f>
        <v>1.0243274580162958</v>
      </c>
      <c r="O57" s="18">
        <f t="shared" si="6"/>
        <v>0.82175407141789925</v>
      </c>
      <c r="P57" s="279">
        <f t="shared" si="8"/>
        <v>228.447631854176</v>
      </c>
      <c r="Q57" s="387">
        <f t="shared" si="7"/>
        <v>278</v>
      </c>
      <c r="R57" s="382">
        <f>+O57/O57</f>
        <v>1</v>
      </c>
      <c r="S57" s="238">
        <f t="shared" si="3"/>
        <v>0.82175407141789925</v>
      </c>
      <c r="T57" s="108" t="str">
        <f t="shared" si="4"/>
        <v>of 2015 VBT FSM RR 75 ALB</v>
      </c>
    </row>
    <row r="58" spans="1:21" x14ac:dyDescent="0.25">
      <c r="A58" s="285" t="s">
        <v>241</v>
      </c>
      <c r="B58" s="301" t="s">
        <v>34</v>
      </c>
      <c r="C58" s="233" t="s">
        <v>260</v>
      </c>
      <c r="D58" s="332" t="s">
        <v>78</v>
      </c>
      <c r="E58" s="270">
        <v>455</v>
      </c>
      <c r="F58" s="345">
        <v>330</v>
      </c>
      <c r="G58" s="348">
        <f t="shared" si="0"/>
        <v>0.72527472527472525</v>
      </c>
      <c r="H58" s="357" t="s">
        <v>255</v>
      </c>
      <c r="I58" s="381">
        <f t="shared" si="5"/>
        <v>0.80223766822506304</v>
      </c>
      <c r="J58" s="304" t="s">
        <v>240</v>
      </c>
      <c r="K58" s="272">
        <v>0.86</v>
      </c>
      <c r="L58" s="329">
        <f t="shared" si="1"/>
        <v>0.68992439467355415</v>
      </c>
      <c r="M58" s="192">
        <f t="shared" si="2"/>
        <v>313.91559957646712</v>
      </c>
      <c r="N58" s="288">
        <f>SUM($F$57:$F$58)/SUM($M$57:$M$58)</f>
        <v>1.0243274580162958</v>
      </c>
      <c r="O58" s="18">
        <f t="shared" si="6"/>
        <v>0.70670850141939334</v>
      </c>
      <c r="P58" s="279">
        <f t="shared" si="8"/>
        <v>321.55236814582395</v>
      </c>
      <c r="Q58" s="387">
        <f t="shared" si="7"/>
        <v>454.99999999999994</v>
      </c>
      <c r="R58" s="382">
        <f>+O58/O57</f>
        <v>0.86</v>
      </c>
      <c r="S58" s="238">
        <f t="shared" si="3"/>
        <v>0.70670850141939334</v>
      </c>
      <c r="T58" s="108" t="str">
        <f t="shared" si="4"/>
        <v>of 2015 VBT FSM RR 75 ALB</v>
      </c>
    </row>
    <row r="59" spans="1:21" x14ac:dyDescent="0.25">
      <c r="A59" s="285" t="s">
        <v>242</v>
      </c>
      <c r="B59" s="301" t="s">
        <v>117</v>
      </c>
      <c r="C59" s="233" t="s">
        <v>259</v>
      </c>
      <c r="D59" s="331" t="s">
        <v>79</v>
      </c>
      <c r="E59" s="270">
        <v>366</v>
      </c>
      <c r="F59" s="345">
        <v>325</v>
      </c>
      <c r="G59" s="348">
        <f t="shared" si="0"/>
        <v>0.88797814207650272</v>
      </c>
      <c r="H59" s="357" t="s">
        <v>256</v>
      </c>
      <c r="I59" s="381">
        <f t="shared" si="5"/>
        <v>0.80819466283833308</v>
      </c>
      <c r="J59" s="304" t="s">
        <v>242</v>
      </c>
      <c r="K59" s="272">
        <v>1</v>
      </c>
      <c r="L59" s="329">
        <f t="shared" si="1"/>
        <v>0.80819466283833308</v>
      </c>
      <c r="M59" s="192">
        <f t="shared" si="2"/>
        <v>295.79924659882988</v>
      </c>
      <c r="N59" s="288">
        <f>SUM($F$59:$F$60)/SUM($M$59:$M$60)</f>
        <v>1.0749287400949716</v>
      </c>
      <c r="O59" s="18">
        <f t="shared" si="6"/>
        <v>0.86875167067628978</v>
      </c>
      <c r="P59" s="279">
        <f t="shared" si="8"/>
        <v>317.96311146752203</v>
      </c>
      <c r="Q59" s="387">
        <f t="shared" si="7"/>
        <v>365.99999999999994</v>
      </c>
      <c r="R59" s="382">
        <f>+O59/O59</f>
        <v>1</v>
      </c>
      <c r="S59" s="238">
        <f t="shared" si="3"/>
        <v>0.86875167067628978</v>
      </c>
      <c r="T59" s="108" t="str">
        <f t="shared" si="4"/>
        <v>of 2015 VBT FSM RR 125 ALB</v>
      </c>
    </row>
    <row r="60" spans="1:21" x14ac:dyDescent="0.25">
      <c r="A60" s="285" t="s">
        <v>243</v>
      </c>
      <c r="B60" s="301" t="s">
        <v>117</v>
      </c>
      <c r="C60" s="297" t="s">
        <v>260</v>
      </c>
      <c r="D60" s="331" t="s">
        <v>79</v>
      </c>
      <c r="E60" s="270">
        <v>390</v>
      </c>
      <c r="F60" s="345">
        <v>325</v>
      </c>
      <c r="G60" s="348">
        <f t="shared" si="0"/>
        <v>0.83333333333333337</v>
      </c>
      <c r="H60" s="357" t="s">
        <v>256</v>
      </c>
      <c r="I60" s="381">
        <f t="shared" si="5"/>
        <v>0.80819466283833308</v>
      </c>
      <c r="J60" s="304" t="s">
        <v>242</v>
      </c>
      <c r="K60" s="272">
        <v>0.98</v>
      </c>
      <c r="L60" s="329">
        <f t="shared" si="1"/>
        <v>0.79203076958156637</v>
      </c>
      <c r="M60" s="192">
        <f t="shared" si="2"/>
        <v>308.89200013681091</v>
      </c>
      <c r="N60" s="288">
        <f>SUM($F$59:$F$60)/SUM($M$59:$M$60)</f>
        <v>1.0749287400949716</v>
      </c>
      <c r="O60" s="18">
        <f t="shared" si="6"/>
        <v>0.85137663726276391</v>
      </c>
      <c r="P60" s="279">
        <f t="shared" si="8"/>
        <v>332.03688853247797</v>
      </c>
      <c r="Q60" s="387">
        <f t="shared" si="7"/>
        <v>390.00000000000006</v>
      </c>
      <c r="R60" s="382">
        <f>+O60/O59</f>
        <v>0.97999999999999987</v>
      </c>
      <c r="S60" s="238">
        <f t="shared" si="3"/>
        <v>0.85137663726276391</v>
      </c>
      <c r="T60" s="108" t="str">
        <f t="shared" si="4"/>
        <v>of 2015 VBT FSM RR 125 ALB</v>
      </c>
    </row>
    <row r="61" spans="1:21" x14ac:dyDescent="0.25">
      <c r="A61" s="296" t="s">
        <v>3</v>
      </c>
      <c r="B61" s="335" t="s">
        <v>38</v>
      </c>
      <c r="C61" s="283"/>
      <c r="D61" s="333"/>
      <c r="E61" s="385">
        <f>SUM(E37:E60)</f>
        <v>5904</v>
      </c>
      <c r="F61" s="386">
        <f>SUM(F37:F60)</f>
        <v>4775</v>
      </c>
      <c r="G61" s="349">
        <f t="shared" si="0"/>
        <v>0.80877371273712739</v>
      </c>
      <c r="J61" s="375"/>
      <c r="K61" s="40"/>
      <c r="L61" s="90"/>
      <c r="M61" s="298">
        <f>SUM(M37:M60)</f>
        <v>4608.6826798981474</v>
      </c>
      <c r="N61" s="287"/>
      <c r="O61" s="58"/>
      <c r="P61" s="298">
        <f>SUM(P37:P60)</f>
        <v>4775</v>
      </c>
      <c r="Q61" s="298">
        <f>SUM(Q37:Q60)</f>
        <v>5904</v>
      </c>
      <c r="R61" s="106"/>
      <c r="S61" s="62"/>
      <c r="T61" s="24"/>
    </row>
    <row r="62" spans="1:21" x14ac:dyDescent="0.25">
      <c r="A62" s="22"/>
      <c r="B62" s="283"/>
      <c r="C62" s="283"/>
      <c r="D62" s="23"/>
      <c r="E62" s="23"/>
      <c r="F62" s="23"/>
      <c r="G62" s="347"/>
      <c r="H62" s="25"/>
      <c r="I62" s="25"/>
      <c r="J62" s="301"/>
      <c r="K62" s="25"/>
      <c r="L62" s="25"/>
      <c r="M62" s="25"/>
      <c r="N62" s="25"/>
      <c r="O62" s="25"/>
      <c r="P62" s="24"/>
      <c r="Q62" s="25"/>
      <c r="R62" s="24"/>
      <c r="S62" s="24"/>
      <c r="T62" s="24"/>
      <c r="U62" s="26"/>
    </row>
    <row r="64" spans="1:21" x14ac:dyDescent="0.25">
      <c r="A64" s="291" t="s">
        <v>244</v>
      </c>
    </row>
    <row r="66" spans="1:19" x14ac:dyDescent="0.25">
      <c r="A66" s="95" t="s">
        <v>221</v>
      </c>
      <c r="B66" s="68"/>
      <c r="C66" s="69" t="s">
        <v>39</v>
      </c>
      <c r="D66" s="23"/>
      <c r="E66" s="24"/>
      <c r="F66" s="70"/>
      <c r="G66" s="71" t="s">
        <v>44</v>
      </c>
      <c r="H66" s="69"/>
      <c r="I66" s="69"/>
      <c r="J66" s="69"/>
      <c r="K66" s="25"/>
      <c r="L66" s="25"/>
      <c r="M66" s="25"/>
      <c r="N66" s="25"/>
      <c r="O66" s="70"/>
      <c r="P66" s="67" t="s">
        <v>64</v>
      </c>
      <c r="S66" s="70"/>
    </row>
    <row r="67" spans="1:19" x14ac:dyDescent="0.25">
      <c r="A67" s="116"/>
      <c r="B67" s="8"/>
      <c r="C67" s="5"/>
      <c r="D67" s="1"/>
      <c r="F67" s="9"/>
      <c r="G67" s="117"/>
      <c r="H67" s="5"/>
      <c r="I67" s="5"/>
      <c r="J67" s="5"/>
      <c r="K67" s="4"/>
      <c r="L67" s="4"/>
      <c r="M67" s="4"/>
      <c r="N67" s="4"/>
      <c r="O67" s="9"/>
      <c r="P67" s="3" t="s">
        <v>308</v>
      </c>
      <c r="S67" s="9"/>
    </row>
    <row r="68" spans="1:19" x14ac:dyDescent="0.25">
      <c r="A68" s="96"/>
      <c r="B68" s="8"/>
      <c r="C68" s="5"/>
      <c r="D68" s="1"/>
      <c r="F68" s="9"/>
      <c r="G68" s="12"/>
      <c r="H68" s="4"/>
      <c r="I68" s="5"/>
      <c r="J68" s="5"/>
      <c r="K68" s="4"/>
      <c r="L68" s="4"/>
      <c r="M68" s="4"/>
      <c r="N68" s="4"/>
      <c r="O68" s="9"/>
      <c r="P68" s="3" t="s">
        <v>66</v>
      </c>
      <c r="S68" s="9"/>
    </row>
    <row r="69" spans="1:19" x14ac:dyDescent="0.25">
      <c r="A69" s="37" t="s">
        <v>6</v>
      </c>
      <c r="B69" s="51" t="s">
        <v>7</v>
      </c>
      <c r="C69" s="42" t="s">
        <v>8</v>
      </c>
      <c r="D69" s="37" t="s">
        <v>9</v>
      </c>
      <c r="E69" s="37" t="s">
        <v>10</v>
      </c>
      <c r="F69" s="51" t="s">
        <v>11</v>
      </c>
      <c r="G69" s="42" t="s">
        <v>12</v>
      </c>
      <c r="H69" s="41"/>
      <c r="I69" s="42" t="s">
        <v>13</v>
      </c>
      <c r="J69" s="41"/>
      <c r="K69" s="42" t="s">
        <v>14</v>
      </c>
      <c r="L69" s="41"/>
      <c r="M69" s="42" t="s">
        <v>25</v>
      </c>
      <c r="N69" s="41"/>
      <c r="O69" s="308" t="s">
        <v>26</v>
      </c>
      <c r="P69" s="42" t="s">
        <v>35</v>
      </c>
      <c r="Q69" s="42" t="s">
        <v>36</v>
      </c>
      <c r="R69" s="42" t="s">
        <v>37</v>
      </c>
      <c r="S69" s="308" t="s">
        <v>168</v>
      </c>
    </row>
    <row r="70" spans="1:19" ht="63" x14ac:dyDescent="0.25">
      <c r="A70" s="35"/>
      <c r="B70" s="52"/>
      <c r="C70" s="44"/>
      <c r="D70" s="36" t="s">
        <v>189</v>
      </c>
      <c r="E70" s="35"/>
      <c r="F70" s="241" t="s">
        <v>176</v>
      </c>
      <c r="G70" s="44"/>
      <c r="H70" s="307"/>
      <c r="I70" s="44"/>
      <c r="J70" s="307"/>
      <c r="K70" s="73" t="s">
        <v>48</v>
      </c>
      <c r="L70" s="307"/>
      <c r="M70" s="44"/>
      <c r="N70" s="307"/>
      <c r="O70" s="60"/>
      <c r="P70" s="7" t="s">
        <v>279</v>
      </c>
      <c r="Q70" s="7" t="s">
        <v>291</v>
      </c>
      <c r="R70" s="7" t="s">
        <v>292</v>
      </c>
      <c r="S70" s="360" t="s">
        <v>293</v>
      </c>
    </row>
    <row r="71" spans="1:19" ht="60" x14ac:dyDescent="0.25">
      <c r="A71" s="15" t="s">
        <v>43</v>
      </c>
      <c r="B71" s="53" t="s">
        <v>42</v>
      </c>
      <c r="C71" s="48" t="s">
        <v>90</v>
      </c>
      <c r="D71" s="16" t="s">
        <v>217</v>
      </c>
      <c r="E71" s="16" t="s">
        <v>24</v>
      </c>
      <c r="F71" s="55" t="s">
        <v>23</v>
      </c>
      <c r="G71" s="309" t="s">
        <v>2</v>
      </c>
      <c r="H71" s="310" t="s">
        <v>45</v>
      </c>
      <c r="I71" s="310" t="s">
        <v>23</v>
      </c>
      <c r="J71" s="310" t="s">
        <v>46</v>
      </c>
      <c r="K71" s="310" t="s">
        <v>40</v>
      </c>
      <c r="L71" s="310" t="s">
        <v>45</v>
      </c>
      <c r="M71" s="310" t="s">
        <v>41</v>
      </c>
      <c r="N71" s="310" t="s">
        <v>47</v>
      </c>
      <c r="O71" s="99" t="s">
        <v>52</v>
      </c>
      <c r="P71" s="337" t="s">
        <v>274</v>
      </c>
      <c r="Q71" s="338" t="s">
        <v>278</v>
      </c>
      <c r="R71" s="338" t="s">
        <v>269</v>
      </c>
      <c r="S71" s="323" t="s">
        <v>283</v>
      </c>
    </row>
    <row r="72" spans="1:19" x14ac:dyDescent="0.25">
      <c r="A72" s="17" t="s">
        <v>222</v>
      </c>
      <c r="B72" s="54" t="s">
        <v>27</v>
      </c>
      <c r="C72" s="49" t="s">
        <v>68</v>
      </c>
      <c r="D72" s="270">
        <v>64</v>
      </c>
      <c r="E72" s="270">
        <f t="shared" ref="E72:E83" si="9">SUMIF($D$37:$D$60,$C72,F$37:F$60)</f>
        <v>50</v>
      </c>
      <c r="F72" s="271">
        <f>E72/D72</f>
        <v>0.78125</v>
      </c>
      <c r="G72" s="127">
        <v>0.15</v>
      </c>
      <c r="H72" s="14" t="s">
        <v>45</v>
      </c>
      <c r="I72" s="260">
        <f>F72</f>
        <v>0.78125</v>
      </c>
      <c r="J72" s="14" t="s">
        <v>46</v>
      </c>
      <c r="K72" s="47">
        <f>1-G72</f>
        <v>0.85</v>
      </c>
      <c r="L72" s="14" t="s">
        <v>45</v>
      </c>
      <c r="M72" s="259">
        <f t="shared" ref="M72:M83" si="10">$F$84</f>
        <v>0.80877371273712739</v>
      </c>
      <c r="N72" s="14" t="s">
        <v>47</v>
      </c>
      <c r="O72" s="102">
        <f t="shared" ref="O72:O83" si="11">(G72*I72)+(K72*M72)</f>
        <v>0.80464515582655827</v>
      </c>
      <c r="P72" s="339">
        <f>O72*D72</f>
        <v>51.497289972899729</v>
      </c>
      <c r="Q72" s="340">
        <f>+P72*D$84/P$84</f>
        <v>63.794622397541573</v>
      </c>
      <c r="R72" s="342">
        <f>E72/Q72</f>
        <v>0.78376512190041314</v>
      </c>
      <c r="S72" s="358">
        <f>Q72*R72</f>
        <v>50</v>
      </c>
    </row>
    <row r="73" spans="1:19" x14ac:dyDescent="0.25">
      <c r="A73" s="17" t="s">
        <v>223</v>
      </c>
      <c r="B73" s="54" t="s">
        <v>28</v>
      </c>
      <c r="C73" s="49" t="s">
        <v>69</v>
      </c>
      <c r="D73" s="270">
        <v>343</v>
      </c>
      <c r="E73" s="270">
        <f t="shared" si="9"/>
        <v>300</v>
      </c>
      <c r="F73" s="271">
        <f t="shared" ref="F73:F84" si="12">E73/D73</f>
        <v>0.87463556851311952</v>
      </c>
      <c r="G73" s="127">
        <v>0.62</v>
      </c>
      <c r="H73" s="14" t="s">
        <v>45</v>
      </c>
      <c r="I73" s="260">
        <f t="shared" ref="I73:I83" si="13">F73</f>
        <v>0.87463556851311952</v>
      </c>
      <c r="J73" s="14" t="s">
        <v>46</v>
      </c>
      <c r="K73" s="47">
        <f t="shared" ref="K73:K83" si="14">1-G73</f>
        <v>0.38</v>
      </c>
      <c r="L73" s="14" t="s">
        <v>45</v>
      </c>
      <c r="M73" s="259">
        <f t="shared" si="10"/>
        <v>0.80877371273712739</v>
      </c>
      <c r="N73" s="14" t="s">
        <v>47</v>
      </c>
      <c r="O73" s="102">
        <f t="shared" si="11"/>
        <v>0.84960806331824257</v>
      </c>
      <c r="P73" s="339">
        <f t="shared" ref="P73:P83" si="15">O73*D73</f>
        <v>291.41556571815721</v>
      </c>
      <c r="Q73" s="340">
        <f t="shared" ref="Q73:Q83" si="16">+P73*D$84/P$84</f>
        <v>361.00435548237817</v>
      </c>
      <c r="R73" s="342">
        <f t="shared" ref="R73:R84" si="17">E73/Q73</f>
        <v>0.83101490451309523</v>
      </c>
      <c r="S73" s="358">
        <f t="shared" ref="S73:S84" si="18">Q73*R73</f>
        <v>300</v>
      </c>
    </row>
    <row r="74" spans="1:19" x14ac:dyDescent="0.25">
      <c r="A74" s="17" t="s">
        <v>224</v>
      </c>
      <c r="B74" s="54" t="s">
        <v>29</v>
      </c>
      <c r="C74" s="49" t="s">
        <v>70</v>
      </c>
      <c r="D74" s="270">
        <v>510</v>
      </c>
      <c r="E74" s="270">
        <f t="shared" si="9"/>
        <v>400</v>
      </c>
      <c r="F74" s="271">
        <f t="shared" si="12"/>
        <v>0.78431372549019607</v>
      </c>
      <c r="G74" s="127">
        <v>0.78</v>
      </c>
      <c r="H74" s="14" t="s">
        <v>45</v>
      </c>
      <c r="I74" s="260">
        <f t="shared" si="13"/>
        <v>0.78431372549019607</v>
      </c>
      <c r="J74" s="14" t="s">
        <v>46</v>
      </c>
      <c r="K74" s="47">
        <f t="shared" si="14"/>
        <v>0.21999999999999997</v>
      </c>
      <c r="L74" s="14" t="s">
        <v>45</v>
      </c>
      <c r="M74" s="259">
        <f t="shared" si="10"/>
        <v>0.80877371273712739</v>
      </c>
      <c r="N74" s="14" t="s">
        <v>47</v>
      </c>
      <c r="O74" s="102">
        <f t="shared" si="11"/>
        <v>0.78969492268452102</v>
      </c>
      <c r="P74" s="339">
        <f t="shared" si="15"/>
        <v>402.7444105691057</v>
      </c>
      <c r="Q74" s="340">
        <f t="shared" si="16"/>
        <v>498.91805196928544</v>
      </c>
      <c r="R74" s="342">
        <f t="shared" si="17"/>
        <v>0.80173487092951479</v>
      </c>
      <c r="S74" s="358">
        <f t="shared" si="18"/>
        <v>400</v>
      </c>
    </row>
    <row r="75" spans="1:19" x14ac:dyDescent="0.25">
      <c r="A75" s="17" t="s">
        <v>225</v>
      </c>
      <c r="B75" s="286" t="s">
        <v>114</v>
      </c>
      <c r="C75" s="49" t="s">
        <v>71</v>
      </c>
      <c r="D75" s="270">
        <v>617</v>
      </c>
      <c r="E75" s="270">
        <f t="shared" si="9"/>
        <v>500</v>
      </c>
      <c r="F75" s="271">
        <f t="shared" si="12"/>
        <v>0.81037277147487841</v>
      </c>
      <c r="G75" s="127">
        <v>0.89</v>
      </c>
      <c r="H75" s="14" t="s">
        <v>45</v>
      </c>
      <c r="I75" s="260">
        <f t="shared" si="13"/>
        <v>0.81037277147487841</v>
      </c>
      <c r="J75" s="14" t="s">
        <v>46</v>
      </c>
      <c r="K75" s="47">
        <f t="shared" si="14"/>
        <v>0.10999999999999999</v>
      </c>
      <c r="L75" s="14" t="s">
        <v>45</v>
      </c>
      <c r="M75" s="259">
        <f t="shared" si="10"/>
        <v>0.80877371273712739</v>
      </c>
      <c r="N75" s="14" t="s">
        <v>47</v>
      </c>
      <c r="O75" s="102">
        <f t="shared" si="11"/>
        <v>0.81019687501372573</v>
      </c>
      <c r="P75" s="339">
        <f t="shared" si="15"/>
        <v>499.8914718834688</v>
      </c>
      <c r="Q75" s="340">
        <f t="shared" si="16"/>
        <v>619.26341571254284</v>
      </c>
      <c r="R75" s="342">
        <f t="shared" si="17"/>
        <v>0.80741084862034873</v>
      </c>
      <c r="S75" s="358">
        <f t="shared" si="18"/>
        <v>500</v>
      </c>
    </row>
    <row r="76" spans="1:19" x14ac:dyDescent="0.25">
      <c r="A76" s="17" t="s">
        <v>226</v>
      </c>
      <c r="B76" s="54" t="s">
        <v>30</v>
      </c>
      <c r="C76" s="76" t="s">
        <v>72</v>
      </c>
      <c r="D76" s="270">
        <v>800</v>
      </c>
      <c r="E76" s="270">
        <f t="shared" si="9"/>
        <v>600</v>
      </c>
      <c r="F76" s="271">
        <f t="shared" si="12"/>
        <v>0.75</v>
      </c>
      <c r="G76" s="127">
        <v>0.95</v>
      </c>
      <c r="H76" s="14" t="s">
        <v>45</v>
      </c>
      <c r="I76" s="260">
        <f t="shared" si="13"/>
        <v>0.75</v>
      </c>
      <c r="J76" s="14" t="s">
        <v>46</v>
      </c>
      <c r="K76" s="47">
        <f t="shared" si="14"/>
        <v>5.0000000000000044E-2</v>
      </c>
      <c r="L76" s="14" t="s">
        <v>45</v>
      </c>
      <c r="M76" s="259">
        <f t="shared" si="10"/>
        <v>0.80877371273712739</v>
      </c>
      <c r="N76" s="14" t="s">
        <v>47</v>
      </c>
      <c r="O76" s="102">
        <f t="shared" si="11"/>
        <v>0.75293868563685629</v>
      </c>
      <c r="P76" s="339">
        <f t="shared" si="15"/>
        <v>602.35094850948508</v>
      </c>
      <c r="Q76" s="340">
        <f t="shared" si="16"/>
        <v>746.18977680545049</v>
      </c>
      <c r="R76" s="342">
        <f t="shared" si="17"/>
        <v>0.80408499104435516</v>
      </c>
      <c r="S76" s="358">
        <f t="shared" si="18"/>
        <v>600</v>
      </c>
    </row>
    <row r="77" spans="1:19" x14ac:dyDescent="0.25">
      <c r="A77" s="17" t="s">
        <v>227</v>
      </c>
      <c r="B77" s="54" t="s">
        <v>115</v>
      </c>
      <c r="C77" s="49" t="s">
        <v>73</v>
      </c>
      <c r="D77" s="270">
        <v>833</v>
      </c>
      <c r="E77" s="270">
        <f t="shared" si="9"/>
        <v>700</v>
      </c>
      <c r="F77" s="271">
        <f t="shared" si="12"/>
        <v>0.84033613445378152</v>
      </c>
      <c r="G77" s="127">
        <v>1</v>
      </c>
      <c r="H77" s="14" t="s">
        <v>45</v>
      </c>
      <c r="I77" s="260">
        <f t="shared" si="13"/>
        <v>0.84033613445378152</v>
      </c>
      <c r="J77" s="14" t="s">
        <v>46</v>
      </c>
      <c r="K77" s="47">
        <f t="shared" si="14"/>
        <v>0</v>
      </c>
      <c r="L77" s="14" t="s">
        <v>45</v>
      </c>
      <c r="M77" s="259">
        <f t="shared" si="10"/>
        <v>0.80877371273712739</v>
      </c>
      <c r="N77" s="14" t="s">
        <v>47</v>
      </c>
      <c r="O77" s="102">
        <f t="shared" si="11"/>
        <v>0.84033613445378152</v>
      </c>
      <c r="P77" s="339">
        <f t="shared" si="15"/>
        <v>700</v>
      </c>
      <c r="Q77" s="340">
        <f t="shared" si="16"/>
        <v>867.15700383028491</v>
      </c>
      <c r="R77" s="342">
        <f t="shared" si="17"/>
        <v>0.80723559506301357</v>
      </c>
      <c r="S77" s="358">
        <f t="shared" si="18"/>
        <v>700</v>
      </c>
    </row>
    <row r="78" spans="1:19" x14ac:dyDescent="0.25">
      <c r="A78" s="17" t="s">
        <v>228</v>
      </c>
      <c r="B78" s="54" t="s">
        <v>31</v>
      </c>
      <c r="C78" s="76" t="s">
        <v>74</v>
      </c>
      <c r="D78" s="270">
        <v>32</v>
      </c>
      <c r="E78" s="270">
        <f t="shared" si="9"/>
        <v>25</v>
      </c>
      <c r="F78" s="271">
        <f t="shared" si="12"/>
        <v>0.78125</v>
      </c>
      <c r="G78" s="127">
        <v>0.05</v>
      </c>
      <c r="H78" s="14" t="s">
        <v>45</v>
      </c>
      <c r="I78" s="260">
        <f t="shared" si="13"/>
        <v>0.78125</v>
      </c>
      <c r="J78" s="14" t="s">
        <v>46</v>
      </c>
      <c r="K78" s="47">
        <f t="shared" si="14"/>
        <v>0.95</v>
      </c>
      <c r="L78" s="14" t="s">
        <v>45</v>
      </c>
      <c r="M78" s="259">
        <f t="shared" si="10"/>
        <v>0.80877371273712739</v>
      </c>
      <c r="N78" s="14" t="s">
        <v>47</v>
      </c>
      <c r="O78" s="102">
        <f t="shared" si="11"/>
        <v>0.80739752710027102</v>
      </c>
      <c r="P78" s="339">
        <f t="shared" si="15"/>
        <v>25.836720867208673</v>
      </c>
      <c r="Q78" s="340">
        <f t="shared" si="16"/>
        <v>32.006419222868672</v>
      </c>
      <c r="R78" s="342">
        <f t="shared" si="17"/>
        <v>0.78109331212338284</v>
      </c>
      <c r="S78" s="358">
        <f t="shared" si="18"/>
        <v>25</v>
      </c>
    </row>
    <row r="79" spans="1:19" x14ac:dyDescent="0.25">
      <c r="A79" s="17" t="s">
        <v>229</v>
      </c>
      <c r="B79" s="54" t="s">
        <v>32</v>
      </c>
      <c r="C79" s="49" t="s">
        <v>75</v>
      </c>
      <c r="D79" s="270">
        <v>226</v>
      </c>
      <c r="E79" s="270">
        <f t="shared" si="9"/>
        <v>200</v>
      </c>
      <c r="F79" s="271">
        <f t="shared" si="12"/>
        <v>0.88495575221238942</v>
      </c>
      <c r="G79" s="127">
        <v>0.33</v>
      </c>
      <c r="H79" s="14" t="s">
        <v>45</v>
      </c>
      <c r="I79" s="260">
        <f t="shared" si="13"/>
        <v>0.88495575221238942</v>
      </c>
      <c r="J79" s="14" t="s">
        <v>46</v>
      </c>
      <c r="K79" s="47">
        <f t="shared" si="14"/>
        <v>0.66999999999999993</v>
      </c>
      <c r="L79" s="14" t="s">
        <v>45</v>
      </c>
      <c r="M79" s="259">
        <f t="shared" si="10"/>
        <v>0.80877371273712739</v>
      </c>
      <c r="N79" s="14" t="s">
        <v>47</v>
      </c>
      <c r="O79" s="102">
        <f t="shared" si="11"/>
        <v>0.8339137857639638</v>
      </c>
      <c r="P79" s="339">
        <f t="shared" si="15"/>
        <v>188.46451558265582</v>
      </c>
      <c r="Q79" s="340">
        <f t="shared" si="16"/>
        <v>233.46903522997411</v>
      </c>
      <c r="R79" s="342">
        <f t="shared" si="17"/>
        <v>0.85664465012670266</v>
      </c>
      <c r="S79" s="358">
        <f t="shared" si="18"/>
        <v>200</v>
      </c>
    </row>
    <row r="80" spans="1:19" x14ac:dyDescent="0.25">
      <c r="A80" s="17" t="s">
        <v>230</v>
      </c>
      <c r="B80" s="54" t="s">
        <v>33</v>
      </c>
      <c r="C80" s="49" t="s">
        <v>76</v>
      </c>
      <c r="D80" s="270">
        <v>445</v>
      </c>
      <c r="E80" s="270">
        <f t="shared" si="9"/>
        <v>350</v>
      </c>
      <c r="F80" s="271">
        <f t="shared" si="12"/>
        <v>0.7865168539325843</v>
      </c>
      <c r="G80" s="127">
        <v>0.66</v>
      </c>
      <c r="H80" s="14" t="s">
        <v>45</v>
      </c>
      <c r="I80" s="260">
        <f t="shared" si="13"/>
        <v>0.7865168539325843</v>
      </c>
      <c r="J80" s="14" t="s">
        <v>46</v>
      </c>
      <c r="K80" s="47">
        <f t="shared" si="14"/>
        <v>0.33999999999999997</v>
      </c>
      <c r="L80" s="14" t="s">
        <v>45</v>
      </c>
      <c r="M80" s="259">
        <f t="shared" si="10"/>
        <v>0.80877371273712739</v>
      </c>
      <c r="N80" s="14" t="s">
        <v>47</v>
      </c>
      <c r="O80" s="102">
        <f t="shared" si="11"/>
        <v>0.79408418592612895</v>
      </c>
      <c r="P80" s="339">
        <f t="shared" si="15"/>
        <v>353.36746273712737</v>
      </c>
      <c r="Q80" s="340">
        <f t="shared" si="16"/>
        <v>437.75010034033892</v>
      </c>
      <c r="R80" s="342">
        <f t="shared" si="17"/>
        <v>0.79954293494823736</v>
      </c>
      <c r="S80" s="358">
        <f t="shared" si="18"/>
        <v>350</v>
      </c>
    </row>
    <row r="81" spans="1:19" x14ac:dyDescent="0.25">
      <c r="A81" s="17" t="s">
        <v>231</v>
      </c>
      <c r="B81" s="54" t="s">
        <v>116</v>
      </c>
      <c r="C81" s="49" t="s">
        <v>77</v>
      </c>
      <c r="D81" s="270">
        <v>545</v>
      </c>
      <c r="E81" s="270">
        <f t="shared" si="9"/>
        <v>450</v>
      </c>
      <c r="F81" s="271">
        <f t="shared" si="12"/>
        <v>0.82568807339449546</v>
      </c>
      <c r="G81" s="127">
        <v>0.75</v>
      </c>
      <c r="H81" s="14" t="s">
        <v>45</v>
      </c>
      <c r="I81" s="260">
        <f t="shared" si="13"/>
        <v>0.82568807339449546</v>
      </c>
      <c r="J81" s="14" t="s">
        <v>46</v>
      </c>
      <c r="K81" s="47">
        <f t="shared" si="14"/>
        <v>0.25</v>
      </c>
      <c r="L81" s="14" t="s">
        <v>45</v>
      </c>
      <c r="M81" s="259">
        <f t="shared" si="10"/>
        <v>0.80877371273712739</v>
      </c>
      <c r="N81" s="14" t="s">
        <v>47</v>
      </c>
      <c r="O81" s="102">
        <f t="shared" si="11"/>
        <v>0.8214594832301535</v>
      </c>
      <c r="P81" s="339">
        <f t="shared" si="15"/>
        <v>447.69541836043368</v>
      </c>
      <c r="Q81" s="340">
        <f t="shared" si="16"/>
        <v>554.60316801997089</v>
      </c>
      <c r="R81" s="342">
        <f t="shared" si="17"/>
        <v>0.8113909655557463</v>
      </c>
      <c r="S81" s="358">
        <f t="shared" si="18"/>
        <v>450</v>
      </c>
    </row>
    <row r="82" spans="1:19" x14ac:dyDescent="0.25">
      <c r="A82" s="17" t="s">
        <v>232</v>
      </c>
      <c r="B82" s="54" t="s">
        <v>34</v>
      </c>
      <c r="C82" s="76" t="s">
        <v>78</v>
      </c>
      <c r="D82" s="270">
        <v>733</v>
      </c>
      <c r="E82" s="270">
        <f t="shared" si="9"/>
        <v>550</v>
      </c>
      <c r="F82" s="271">
        <f t="shared" si="12"/>
        <v>0.75034106412005452</v>
      </c>
      <c r="G82" s="127">
        <v>0.92</v>
      </c>
      <c r="H82" s="14" t="s">
        <v>45</v>
      </c>
      <c r="I82" s="260">
        <f t="shared" si="13"/>
        <v>0.75034106412005452</v>
      </c>
      <c r="J82" s="14" t="s">
        <v>46</v>
      </c>
      <c r="K82" s="47">
        <f t="shared" si="14"/>
        <v>7.999999999999996E-2</v>
      </c>
      <c r="L82" s="14" t="s">
        <v>45</v>
      </c>
      <c r="M82" s="259">
        <f t="shared" si="10"/>
        <v>0.80877371273712739</v>
      </c>
      <c r="N82" s="14" t="s">
        <v>47</v>
      </c>
      <c r="O82" s="102">
        <f t="shared" si="11"/>
        <v>0.75501567600942032</v>
      </c>
      <c r="P82" s="339">
        <f t="shared" si="15"/>
        <v>553.42649051490514</v>
      </c>
      <c r="Q82" s="340">
        <f t="shared" si="16"/>
        <v>685.58236765030676</v>
      </c>
      <c r="R82" s="342">
        <f t="shared" si="17"/>
        <v>0.80223766822506304</v>
      </c>
      <c r="S82" s="358">
        <f t="shared" si="18"/>
        <v>550</v>
      </c>
    </row>
    <row r="83" spans="1:19" x14ac:dyDescent="0.25">
      <c r="A83" s="17" t="s">
        <v>233</v>
      </c>
      <c r="B83" s="54" t="s">
        <v>117</v>
      </c>
      <c r="C83" s="49" t="s">
        <v>79</v>
      </c>
      <c r="D83" s="270">
        <v>756</v>
      </c>
      <c r="E83" s="270">
        <f t="shared" si="9"/>
        <v>650</v>
      </c>
      <c r="F83" s="271">
        <f t="shared" si="12"/>
        <v>0.85978835978835977</v>
      </c>
      <c r="G83" s="127">
        <v>0.98</v>
      </c>
      <c r="H83" s="14" t="s">
        <v>45</v>
      </c>
      <c r="I83" s="260">
        <f t="shared" si="13"/>
        <v>0.85978835978835977</v>
      </c>
      <c r="J83" s="14" t="s">
        <v>46</v>
      </c>
      <c r="K83" s="47">
        <f t="shared" si="14"/>
        <v>2.0000000000000018E-2</v>
      </c>
      <c r="L83" s="14" t="s">
        <v>45</v>
      </c>
      <c r="M83" s="259">
        <f t="shared" si="10"/>
        <v>0.80877371273712739</v>
      </c>
      <c r="N83" s="14" t="s">
        <v>47</v>
      </c>
      <c r="O83" s="102">
        <f t="shared" si="11"/>
        <v>0.85876806684733509</v>
      </c>
      <c r="P83" s="339">
        <f t="shared" si="15"/>
        <v>649.22865853658527</v>
      </c>
      <c r="Q83" s="340">
        <f t="shared" si="16"/>
        <v>804.26168333905775</v>
      </c>
      <c r="R83" s="342">
        <f t="shared" si="17"/>
        <v>0.80819466283833308</v>
      </c>
      <c r="S83" s="358">
        <f t="shared" si="18"/>
        <v>650</v>
      </c>
    </row>
    <row r="84" spans="1:19" x14ac:dyDescent="0.25">
      <c r="A84" s="267" t="s">
        <v>3</v>
      </c>
      <c r="B84" s="268" t="s">
        <v>266</v>
      </c>
      <c r="C84" s="292"/>
      <c r="D84" s="293">
        <f>SUM(D72:D83)</f>
        <v>5904</v>
      </c>
      <c r="E84" s="294">
        <f>SUM(E72:E83)</f>
        <v>4775</v>
      </c>
      <c r="F84" s="295">
        <f t="shared" si="12"/>
        <v>0.80877371273712739</v>
      </c>
      <c r="G84" s="269">
        <v>1</v>
      </c>
      <c r="H84" s="38"/>
      <c r="I84" s="39"/>
      <c r="J84" s="39"/>
      <c r="K84" s="40"/>
      <c r="L84" s="40"/>
      <c r="M84" s="39"/>
      <c r="N84" s="39"/>
      <c r="O84" s="61"/>
      <c r="P84" s="341">
        <f>SUM(P72:P83)</f>
        <v>4765.9189532520322</v>
      </c>
      <c r="Q84" s="341">
        <f>SUM(Q72:Q83)</f>
        <v>5904</v>
      </c>
      <c r="R84" s="343">
        <f t="shared" si="17"/>
        <v>0.80877371273712739</v>
      </c>
      <c r="S84" s="373">
        <f t="shared" si="18"/>
        <v>4775</v>
      </c>
    </row>
  </sheetData>
  <mergeCells count="5">
    <mergeCell ref="S35:T35"/>
    <mergeCell ref="S36:T36"/>
    <mergeCell ref="S34:T34"/>
    <mergeCell ref="B34:C34"/>
    <mergeCell ref="B35:C3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K45"/>
  <sheetViews>
    <sheetView showGridLines="0" topLeftCell="A26" zoomScaleNormal="100" workbookViewId="0">
      <selection activeCell="I32" sqref="I32"/>
    </sheetView>
  </sheetViews>
  <sheetFormatPr defaultRowHeight="15" x14ac:dyDescent="0.25"/>
  <cols>
    <col min="1" max="1" width="11.7109375" customWidth="1"/>
    <col min="2" max="2" width="19.85546875" style="1" customWidth="1"/>
    <col min="3" max="3" width="12.85546875" style="1" customWidth="1"/>
    <col min="4" max="4" width="17" style="1" customWidth="1"/>
    <col min="5" max="5" width="9.7109375" customWidth="1"/>
    <col min="6" max="6" width="7.140625" style="4" bestFit="1" customWidth="1"/>
    <col min="7" max="7" width="12.140625" style="4" customWidth="1"/>
    <col min="8" max="8" width="13.28515625" style="4" customWidth="1"/>
    <col min="9" max="9" width="6.7109375" customWidth="1"/>
    <col min="10" max="10" width="3.28515625" customWidth="1"/>
    <col min="11" max="11" width="24.7109375" customWidth="1"/>
  </cols>
  <sheetData>
    <row r="1" spans="1:11" ht="18" x14ac:dyDescent="0.35">
      <c r="A1" s="118" t="s">
        <v>185</v>
      </c>
      <c r="F1" s="6"/>
      <c r="K1" s="264">
        <v>43651</v>
      </c>
    </row>
    <row r="2" spans="1:11" ht="14.45" x14ac:dyDescent="0.3">
      <c r="A2" s="3"/>
      <c r="F2" s="6"/>
    </row>
    <row r="3" spans="1:11" ht="20.100000000000001" customHeight="1" x14ac:dyDescent="0.3">
      <c r="A3" s="13"/>
      <c r="F3" s="6"/>
    </row>
    <row r="4" spans="1:11" ht="20.100000000000001" customHeight="1" x14ac:dyDescent="0.3">
      <c r="A4" s="13"/>
      <c r="F4" s="6"/>
    </row>
    <row r="5" spans="1:11" ht="20.100000000000001" customHeight="1" x14ac:dyDescent="0.3">
      <c r="A5" s="13"/>
      <c r="F5" s="6"/>
    </row>
    <row r="6" spans="1:11" ht="20.100000000000001" customHeight="1" x14ac:dyDescent="0.3">
      <c r="A6" s="13"/>
      <c r="F6" s="6"/>
    </row>
    <row r="7" spans="1:11" ht="20.100000000000001" customHeight="1" x14ac:dyDescent="0.3">
      <c r="A7" s="13"/>
      <c r="F7" s="6"/>
    </row>
    <row r="8" spans="1:11" ht="20.100000000000001" customHeight="1" x14ac:dyDescent="0.3">
      <c r="A8" s="13"/>
      <c r="F8" s="6"/>
    </row>
    <row r="9" spans="1:11" ht="20.100000000000001" customHeight="1" x14ac:dyDescent="0.3">
      <c r="A9" s="13"/>
      <c r="F9" s="6"/>
    </row>
    <row r="10" spans="1:11" ht="20.100000000000001" customHeight="1" x14ac:dyDescent="0.3">
      <c r="A10" s="13"/>
      <c r="F10" s="6"/>
    </row>
    <row r="11" spans="1:11" ht="20.100000000000001" customHeight="1" x14ac:dyDescent="0.3">
      <c r="A11" s="13"/>
      <c r="F11" s="6"/>
    </row>
    <row r="12" spans="1:11" ht="20.100000000000001" customHeight="1" x14ac:dyDescent="0.3">
      <c r="A12" s="13"/>
      <c r="F12" s="6"/>
    </row>
    <row r="13" spans="1:11" ht="20.100000000000001" customHeight="1" x14ac:dyDescent="0.3">
      <c r="A13" s="13"/>
      <c r="F13" s="6"/>
    </row>
    <row r="14" spans="1:11" ht="20.100000000000001" customHeight="1" x14ac:dyDescent="0.3">
      <c r="A14" s="13"/>
      <c r="F14" s="6"/>
    </row>
    <row r="15" spans="1:11" ht="20.100000000000001" customHeight="1" x14ac:dyDescent="0.3">
      <c r="A15" s="13"/>
      <c r="F15" s="6"/>
    </row>
    <row r="16" spans="1:11" ht="20.100000000000001" customHeight="1" x14ac:dyDescent="0.3">
      <c r="A16" s="13"/>
      <c r="F16" s="6"/>
    </row>
    <row r="17" spans="1:11" ht="20.100000000000001" customHeight="1" x14ac:dyDescent="0.3">
      <c r="A17" s="13"/>
      <c r="F17" s="6"/>
    </row>
    <row r="18" spans="1:11" ht="20.100000000000001" customHeight="1" x14ac:dyDescent="0.3">
      <c r="A18" s="13"/>
      <c r="F18" s="6"/>
    </row>
    <row r="19" spans="1:11" ht="20.100000000000001" customHeight="1" x14ac:dyDescent="0.3">
      <c r="A19" s="13"/>
      <c r="F19" s="6"/>
    </row>
    <row r="20" spans="1:11" ht="20.100000000000001" customHeight="1" x14ac:dyDescent="0.3">
      <c r="A20" s="13"/>
      <c r="F20" s="6"/>
    </row>
    <row r="21" spans="1:11" ht="20.100000000000001" customHeight="1" x14ac:dyDescent="0.3">
      <c r="A21" s="13"/>
      <c r="F21" s="6"/>
    </row>
    <row r="22" spans="1:11" ht="20.100000000000001" customHeight="1" x14ac:dyDescent="0.3">
      <c r="A22" s="13"/>
      <c r="F22" s="6"/>
    </row>
    <row r="23" spans="1:11" ht="20.100000000000001" customHeight="1" x14ac:dyDescent="0.3">
      <c r="A23" s="13"/>
      <c r="F23" s="6"/>
    </row>
    <row r="24" spans="1:11" ht="14.45" x14ac:dyDescent="0.3">
      <c r="A24" s="95" t="s">
        <v>81</v>
      </c>
      <c r="B24" s="68"/>
      <c r="C24" s="69" t="s">
        <v>101</v>
      </c>
      <c r="D24" s="23"/>
      <c r="E24" s="24"/>
      <c r="F24" s="70"/>
      <c r="G24" s="82" t="s">
        <v>94</v>
      </c>
      <c r="H24" s="156" t="s">
        <v>3</v>
      </c>
      <c r="I24" s="67" t="s">
        <v>56</v>
      </c>
      <c r="J24" s="67"/>
      <c r="K24" s="72"/>
    </row>
    <row r="25" spans="1:11" ht="14.45" x14ac:dyDescent="0.3">
      <c r="A25" s="116" t="s">
        <v>80</v>
      </c>
      <c r="B25" s="8"/>
      <c r="C25" s="5" t="s">
        <v>102</v>
      </c>
      <c r="F25" s="9"/>
      <c r="G25" s="152" t="s">
        <v>93</v>
      </c>
      <c r="H25" s="152" t="s">
        <v>99</v>
      </c>
      <c r="I25" s="3" t="s">
        <v>55</v>
      </c>
      <c r="K25" s="10"/>
    </row>
    <row r="26" spans="1:11" ht="14.45" x14ac:dyDescent="0.3">
      <c r="A26" s="116"/>
      <c r="B26" s="8"/>
      <c r="C26" s="5" t="s">
        <v>103</v>
      </c>
      <c r="F26" s="9"/>
      <c r="G26" s="83"/>
      <c r="H26" s="152" t="s">
        <v>100</v>
      </c>
      <c r="I26" s="3"/>
      <c r="K26" s="10"/>
    </row>
    <row r="27" spans="1:11" ht="14.45" x14ac:dyDescent="0.3">
      <c r="A27" s="37" t="s">
        <v>6</v>
      </c>
      <c r="B27" s="51" t="s">
        <v>7</v>
      </c>
      <c r="C27" s="42" t="s">
        <v>8</v>
      </c>
      <c r="D27" s="37" t="s">
        <v>9</v>
      </c>
      <c r="E27" s="37" t="s">
        <v>10</v>
      </c>
      <c r="F27" s="51" t="s">
        <v>11</v>
      </c>
      <c r="G27" s="84" t="s">
        <v>12</v>
      </c>
      <c r="H27" s="84" t="s">
        <v>13</v>
      </c>
      <c r="I27" s="103"/>
      <c r="J27" s="103"/>
      <c r="K27" s="111" t="s">
        <v>180</v>
      </c>
    </row>
    <row r="28" spans="1:11" ht="91.5" customHeight="1" x14ac:dyDescent="0.3">
      <c r="A28" s="35"/>
      <c r="B28" s="52"/>
      <c r="C28" s="86" t="s">
        <v>107</v>
      </c>
      <c r="D28" s="36" t="s">
        <v>189</v>
      </c>
      <c r="E28" s="35"/>
      <c r="F28" s="241" t="s">
        <v>176</v>
      </c>
      <c r="G28" s="157" t="s">
        <v>104</v>
      </c>
      <c r="H28" s="157" t="s">
        <v>105</v>
      </c>
      <c r="I28" s="199" t="s">
        <v>179</v>
      </c>
      <c r="J28" s="112"/>
      <c r="K28" s="113"/>
    </row>
    <row r="29" spans="1:11" s="7" customFormat="1" ht="57.6" x14ac:dyDescent="0.3">
      <c r="A29" s="15" t="s">
        <v>43</v>
      </c>
      <c r="B29" s="53" t="s">
        <v>42</v>
      </c>
      <c r="C29" s="48" t="s">
        <v>90</v>
      </c>
      <c r="D29" s="16" t="s">
        <v>217</v>
      </c>
      <c r="E29" s="16" t="s">
        <v>24</v>
      </c>
      <c r="F29" s="55" t="s">
        <v>23</v>
      </c>
      <c r="G29" s="85" t="s">
        <v>96</v>
      </c>
      <c r="H29" s="85" t="s">
        <v>41</v>
      </c>
      <c r="I29" s="109" t="s">
        <v>60</v>
      </c>
      <c r="J29" s="109"/>
      <c r="K29" s="110"/>
    </row>
    <row r="30" spans="1:11" ht="18" customHeight="1" x14ac:dyDescent="0.3">
      <c r="A30" s="17" t="s">
        <v>0</v>
      </c>
      <c r="B30" s="54" t="s">
        <v>27</v>
      </c>
      <c r="C30" s="49" t="s">
        <v>68</v>
      </c>
      <c r="D30" s="125">
        <v>200</v>
      </c>
      <c r="E30" s="126">
        <v>187</v>
      </c>
      <c r="F30" s="247">
        <f>E30/D30</f>
        <v>0.93500000000000005</v>
      </c>
      <c r="G30" s="132" t="s">
        <v>95</v>
      </c>
      <c r="H30" s="153">
        <f>$F$42</f>
        <v>0.97674816207898785</v>
      </c>
      <c r="I30" s="107">
        <f>H30</f>
        <v>0.97674816207898785</v>
      </c>
      <c r="J30" s="107" t="s">
        <v>61</v>
      </c>
      <c r="K30" s="108" t="str">
        <f t="shared" ref="K30:K41" si="0">"2015 VBT "&amp;C30&amp;" ALB"</f>
        <v>2015 VBT MNS RR 70 ALB</v>
      </c>
    </row>
    <row r="31" spans="1:11" ht="18" customHeight="1" x14ac:dyDescent="0.3">
      <c r="A31" s="17" t="s">
        <v>1</v>
      </c>
      <c r="B31" s="54" t="s">
        <v>28</v>
      </c>
      <c r="C31" s="49" t="s">
        <v>69</v>
      </c>
      <c r="D31" s="125">
        <v>484</v>
      </c>
      <c r="E31" s="126">
        <v>495</v>
      </c>
      <c r="F31" s="247">
        <f t="shared" ref="F31:F41" si="1">E31/D31</f>
        <v>1.0227272727272727</v>
      </c>
      <c r="G31" s="132" t="s">
        <v>95</v>
      </c>
      <c r="H31" s="153">
        <f t="shared" ref="H31:H41" si="2">$F$42</f>
        <v>0.97674816207898785</v>
      </c>
      <c r="I31" s="107">
        <f t="shared" ref="I31:I41" si="3">H31</f>
        <v>0.97674816207898785</v>
      </c>
      <c r="J31" s="107" t="s">
        <v>61</v>
      </c>
      <c r="K31" s="108" t="str">
        <f t="shared" si="0"/>
        <v>2015 VBT MNS RR 80 ALB</v>
      </c>
    </row>
    <row r="32" spans="1:11" ht="18" customHeight="1" x14ac:dyDescent="0.3">
      <c r="A32" s="17" t="s">
        <v>4</v>
      </c>
      <c r="B32" s="54" t="s">
        <v>29</v>
      </c>
      <c r="C32" s="49" t="s">
        <v>70</v>
      </c>
      <c r="D32" s="125">
        <v>533</v>
      </c>
      <c r="E32" s="126">
        <v>520</v>
      </c>
      <c r="F32" s="247">
        <f t="shared" si="1"/>
        <v>0.97560975609756095</v>
      </c>
      <c r="G32" s="132" t="s">
        <v>95</v>
      </c>
      <c r="H32" s="153">
        <f t="shared" si="2"/>
        <v>0.97674816207898785</v>
      </c>
      <c r="I32" s="107">
        <f t="shared" si="3"/>
        <v>0.97674816207898785</v>
      </c>
      <c r="J32" s="107" t="s">
        <v>61</v>
      </c>
      <c r="K32" s="108" t="str">
        <f t="shared" si="0"/>
        <v>2015 VBT MNS RR 90 ALB</v>
      </c>
    </row>
    <row r="33" spans="1:11" ht="18" customHeight="1" x14ac:dyDescent="0.3">
      <c r="A33" s="78" t="s">
        <v>5</v>
      </c>
      <c r="B33" s="79" t="s">
        <v>114</v>
      </c>
      <c r="C33" s="80" t="s">
        <v>71</v>
      </c>
      <c r="D33" s="128">
        <v>582</v>
      </c>
      <c r="E33" s="129">
        <v>563</v>
      </c>
      <c r="F33" s="251">
        <f t="shared" si="1"/>
        <v>0.96735395189003437</v>
      </c>
      <c r="G33" s="133" t="s">
        <v>95</v>
      </c>
      <c r="H33" s="154">
        <f t="shared" si="2"/>
        <v>0.97674816207898785</v>
      </c>
      <c r="I33" s="123">
        <f t="shared" si="3"/>
        <v>0.97674816207898785</v>
      </c>
      <c r="J33" s="123" t="s">
        <v>61</v>
      </c>
      <c r="K33" s="124" t="str">
        <f t="shared" si="0"/>
        <v>2015 VBT MNS RR 110 ALB</v>
      </c>
    </row>
    <row r="34" spans="1:11" ht="18" customHeight="1" x14ac:dyDescent="0.3">
      <c r="A34" s="74" t="s">
        <v>15</v>
      </c>
      <c r="B34" s="75" t="s">
        <v>30</v>
      </c>
      <c r="C34" s="76" t="s">
        <v>89</v>
      </c>
      <c r="D34" s="130">
        <v>525</v>
      </c>
      <c r="E34" s="131">
        <v>530</v>
      </c>
      <c r="F34" s="245">
        <f>E34/D34</f>
        <v>1.0095238095238095</v>
      </c>
      <c r="G34" s="134" t="s">
        <v>95</v>
      </c>
      <c r="H34" s="155">
        <f t="shared" si="2"/>
        <v>0.97674816207898785</v>
      </c>
      <c r="I34" s="121">
        <f t="shared" si="3"/>
        <v>0.97674816207898785</v>
      </c>
      <c r="J34" s="121" t="s">
        <v>61</v>
      </c>
      <c r="K34" s="122" t="str">
        <f t="shared" si="0"/>
        <v>2015 VBT MSM RR 100 ALB</v>
      </c>
    </row>
    <row r="35" spans="1:11" ht="18" customHeight="1" x14ac:dyDescent="0.3">
      <c r="A35" s="78" t="s">
        <v>16</v>
      </c>
      <c r="B35" s="79" t="s">
        <v>115</v>
      </c>
      <c r="C35" s="80" t="s">
        <v>73</v>
      </c>
      <c r="D35" s="128">
        <v>833</v>
      </c>
      <c r="E35" s="129">
        <v>801</v>
      </c>
      <c r="F35" s="251">
        <f t="shared" si="1"/>
        <v>0.96158463385354143</v>
      </c>
      <c r="G35" s="133" t="s">
        <v>95</v>
      </c>
      <c r="H35" s="154">
        <f t="shared" si="2"/>
        <v>0.97674816207898785</v>
      </c>
      <c r="I35" s="123">
        <f t="shared" si="3"/>
        <v>0.97674816207898785</v>
      </c>
      <c r="J35" s="123" t="s">
        <v>61</v>
      </c>
      <c r="K35" s="124" t="str">
        <f t="shared" si="0"/>
        <v>2015 VBT MSM RR 125 ALB</v>
      </c>
    </row>
    <row r="36" spans="1:11" ht="18" customHeight="1" x14ac:dyDescent="0.3">
      <c r="A36" s="74" t="s">
        <v>17</v>
      </c>
      <c r="B36" s="75" t="s">
        <v>31</v>
      </c>
      <c r="C36" s="76" t="s">
        <v>74</v>
      </c>
      <c r="D36" s="130">
        <v>175</v>
      </c>
      <c r="E36" s="131">
        <v>182</v>
      </c>
      <c r="F36" s="245">
        <f>E36/D36</f>
        <v>1.04</v>
      </c>
      <c r="G36" s="134" t="s">
        <v>95</v>
      </c>
      <c r="H36" s="155">
        <f t="shared" si="2"/>
        <v>0.97674816207898785</v>
      </c>
      <c r="I36" s="121">
        <f t="shared" si="3"/>
        <v>0.97674816207898785</v>
      </c>
      <c r="J36" s="121" t="s">
        <v>61</v>
      </c>
      <c r="K36" s="122" t="str">
        <f t="shared" si="0"/>
        <v>2015 VBT FNS RR 70 ALB</v>
      </c>
    </row>
    <row r="37" spans="1:11" ht="18" customHeight="1" x14ac:dyDescent="0.3">
      <c r="A37" s="17" t="s">
        <v>18</v>
      </c>
      <c r="B37" s="54" t="s">
        <v>32</v>
      </c>
      <c r="C37" s="49" t="s">
        <v>75</v>
      </c>
      <c r="D37" s="130">
        <v>335</v>
      </c>
      <c r="E37" s="126">
        <v>320</v>
      </c>
      <c r="F37" s="245">
        <f t="shared" ref="F37:F38" si="4">E37/D37</f>
        <v>0.95522388059701491</v>
      </c>
      <c r="G37" s="132" t="s">
        <v>95</v>
      </c>
      <c r="H37" s="153">
        <f t="shared" si="2"/>
        <v>0.97674816207898785</v>
      </c>
      <c r="I37" s="107">
        <f t="shared" si="3"/>
        <v>0.97674816207898785</v>
      </c>
      <c r="J37" s="107" t="s">
        <v>61</v>
      </c>
      <c r="K37" s="108" t="str">
        <f t="shared" si="0"/>
        <v>2015 VBT FNS RR 80 ALB</v>
      </c>
    </row>
    <row r="38" spans="1:11" ht="18" customHeight="1" x14ac:dyDescent="0.3">
      <c r="A38" s="17" t="s">
        <v>19</v>
      </c>
      <c r="B38" s="54" t="s">
        <v>33</v>
      </c>
      <c r="C38" s="49" t="s">
        <v>76</v>
      </c>
      <c r="D38" s="130">
        <v>425</v>
      </c>
      <c r="E38" s="126">
        <v>384</v>
      </c>
      <c r="F38" s="245">
        <f t="shared" si="4"/>
        <v>0.90352941176470591</v>
      </c>
      <c r="G38" s="132" t="s">
        <v>95</v>
      </c>
      <c r="H38" s="153">
        <f t="shared" si="2"/>
        <v>0.97674816207898785</v>
      </c>
      <c r="I38" s="107">
        <f t="shared" si="3"/>
        <v>0.97674816207898785</v>
      </c>
      <c r="J38" s="107" t="s">
        <v>61</v>
      </c>
      <c r="K38" s="108" t="str">
        <f t="shared" si="0"/>
        <v>2015 VBT FNS RR 90 ALB</v>
      </c>
    </row>
    <row r="39" spans="1:11" ht="18" customHeight="1" x14ac:dyDescent="0.3">
      <c r="A39" s="78" t="s">
        <v>20</v>
      </c>
      <c r="B39" s="79" t="s">
        <v>116</v>
      </c>
      <c r="C39" s="80" t="s">
        <v>77</v>
      </c>
      <c r="D39" s="128">
        <v>542</v>
      </c>
      <c r="E39" s="129">
        <v>531</v>
      </c>
      <c r="F39" s="251">
        <f>E39/D39</f>
        <v>0.97970479704797053</v>
      </c>
      <c r="G39" s="133" t="s">
        <v>95</v>
      </c>
      <c r="H39" s="154">
        <f t="shared" si="2"/>
        <v>0.97674816207898785</v>
      </c>
      <c r="I39" s="123">
        <f t="shared" si="3"/>
        <v>0.97674816207898785</v>
      </c>
      <c r="J39" s="123" t="s">
        <v>61</v>
      </c>
      <c r="K39" s="124" t="str">
        <f t="shared" si="0"/>
        <v>2015 VBT FNS RR 110 ALB</v>
      </c>
    </row>
    <row r="40" spans="1:11" ht="18" customHeight="1" x14ac:dyDescent="0.25">
      <c r="A40" s="74" t="s">
        <v>21</v>
      </c>
      <c r="B40" s="75" t="s">
        <v>34</v>
      </c>
      <c r="C40" s="76" t="s">
        <v>91</v>
      </c>
      <c r="D40" s="130">
        <v>490</v>
      </c>
      <c r="E40" s="131">
        <v>470</v>
      </c>
      <c r="F40" s="245">
        <f>E40/D40</f>
        <v>0.95918367346938771</v>
      </c>
      <c r="G40" s="134" t="s">
        <v>95</v>
      </c>
      <c r="H40" s="155">
        <f t="shared" si="2"/>
        <v>0.97674816207898785</v>
      </c>
      <c r="I40" s="121">
        <f t="shared" si="3"/>
        <v>0.97674816207898785</v>
      </c>
      <c r="J40" s="121" t="s">
        <v>61</v>
      </c>
      <c r="K40" s="122" t="str">
        <f t="shared" si="0"/>
        <v>2015 VBT FSM RR 100 ALB</v>
      </c>
    </row>
    <row r="41" spans="1:11" ht="18" customHeight="1" x14ac:dyDescent="0.25">
      <c r="A41" s="78" t="s">
        <v>22</v>
      </c>
      <c r="B41" s="79" t="s">
        <v>117</v>
      </c>
      <c r="C41" s="80" t="s">
        <v>92</v>
      </c>
      <c r="D41" s="128">
        <v>725</v>
      </c>
      <c r="E41" s="129">
        <v>730</v>
      </c>
      <c r="F41" s="251">
        <f t="shared" si="1"/>
        <v>1.0068965517241379</v>
      </c>
      <c r="G41" s="133" t="s">
        <v>95</v>
      </c>
      <c r="H41" s="154">
        <f t="shared" si="2"/>
        <v>0.97674816207898785</v>
      </c>
      <c r="I41" s="123">
        <f t="shared" si="3"/>
        <v>0.97674816207898785</v>
      </c>
      <c r="J41" s="123" t="s">
        <v>61</v>
      </c>
      <c r="K41" s="124" t="str">
        <f t="shared" si="0"/>
        <v>2015 VBT FSM RR 150 ALB</v>
      </c>
    </row>
    <row r="42" spans="1:11" s="11" customFormat="1" ht="30" x14ac:dyDescent="0.25">
      <c r="A42" s="87" t="s">
        <v>3</v>
      </c>
      <c r="B42" s="88" t="s">
        <v>38</v>
      </c>
      <c r="C42" s="89"/>
      <c r="D42" s="90">
        <f>SUM(D30:D41)</f>
        <v>5849</v>
      </c>
      <c r="E42" s="119">
        <f>SUM(E30:E41)</f>
        <v>5713</v>
      </c>
      <c r="F42" s="249">
        <f>E42/D42</f>
        <v>0.97674816207898785</v>
      </c>
      <c r="G42" s="91"/>
      <c r="H42" s="91"/>
      <c r="I42" s="93"/>
      <c r="J42" s="93"/>
      <c r="K42" s="94"/>
    </row>
    <row r="43" spans="1:11" ht="20.100000000000001" customHeight="1" x14ac:dyDescent="0.25">
      <c r="A43" s="22"/>
      <c r="B43" s="23"/>
      <c r="C43" s="23"/>
      <c r="D43" s="120" t="s">
        <v>67</v>
      </c>
      <c r="E43" s="135">
        <v>1</v>
      </c>
      <c r="F43" s="25"/>
      <c r="G43" s="25"/>
      <c r="H43" s="25"/>
      <c r="I43" s="24"/>
      <c r="J43" s="24"/>
      <c r="K43" s="26"/>
    </row>
    <row r="44" spans="1:11" ht="20.100000000000001" customHeight="1" x14ac:dyDescent="0.25">
      <c r="A44" s="160"/>
      <c r="D44" s="158"/>
      <c r="E44" s="159"/>
      <c r="K44" s="161"/>
    </row>
    <row r="45" spans="1:11" ht="20.100000000000001" customHeight="1" x14ac:dyDescent="0.25">
      <c r="A45" s="27"/>
      <c r="B45" s="28"/>
      <c r="C45" s="29"/>
      <c r="D45" s="28"/>
      <c r="E45" s="30"/>
      <c r="F45" s="31"/>
      <c r="G45" s="31"/>
      <c r="H45" s="29"/>
      <c r="I45" s="30"/>
      <c r="J45" s="30"/>
      <c r="K45" s="34"/>
    </row>
  </sheetData>
  <printOptions horizontalCentered="1"/>
  <pageMargins left="0" right="0" top="0.5" bottom="0" header="0.3" footer="0.3"/>
  <pageSetup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K51"/>
  <sheetViews>
    <sheetView showGridLines="0" topLeftCell="A30" zoomScaleNormal="100" workbookViewId="0">
      <selection activeCell="D33" sqref="D33"/>
    </sheetView>
  </sheetViews>
  <sheetFormatPr defaultRowHeight="15" x14ac:dyDescent="0.25"/>
  <cols>
    <col min="1" max="1" width="11.7109375" customWidth="1"/>
    <col min="2" max="2" width="19.85546875" style="1" customWidth="1"/>
    <col min="3" max="3" width="12.85546875" style="1" customWidth="1"/>
    <col min="4" max="4" width="17.42578125" style="1" customWidth="1"/>
    <col min="5" max="5" width="9.7109375" customWidth="1"/>
    <col min="6" max="6" width="7.140625" style="4" bestFit="1" customWidth="1"/>
    <col min="7" max="7" width="12.140625" style="4" customWidth="1"/>
    <col min="8" max="8" width="13.28515625" style="4" customWidth="1"/>
    <col min="9" max="9" width="7" customWidth="1"/>
    <col min="10" max="10" width="3.28515625" customWidth="1"/>
    <col min="11" max="11" width="24.7109375" customWidth="1"/>
  </cols>
  <sheetData>
    <row r="1" spans="1:11" ht="18" x14ac:dyDescent="0.35">
      <c r="A1" s="118" t="s">
        <v>186</v>
      </c>
      <c r="F1" s="6"/>
      <c r="K1" s="264">
        <f>'Relativistic Method - Example 1'!$K$1</f>
        <v>43651</v>
      </c>
    </row>
    <row r="2" spans="1:11" ht="14.45" x14ac:dyDescent="0.3">
      <c r="A2" s="3"/>
      <c r="F2" s="6"/>
    </row>
    <row r="3" spans="1:11" ht="20.100000000000001" customHeight="1" x14ac:dyDescent="0.3">
      <c r="A3" s="13"/>
      <c r="F3" s="6"/>
    </row>
    <row r="4" spans="1:11" ht="20.100000000000001" customHeight="1" x14ac:dyDescent="0.3">
      <c r="A4" s="13"/>
      <c r="F4" s="6"/>
    </row>
    <row r="5" spans="1:11" ht="20.100000000000001" customHeight="1" x14ac:dyDescent="0.3">
      <c r="A5" s="13"/>
      <c r="F5" s="6"/>
    </row>
    <row r="6" spans="1:11" ht="20.100000000000001" customHeight="1" x14ac:dyDescent="0.3">
      <c r="A6" s="13"/>
      <c r="F6" s="6"/>
    </row>
    <row r="7" spans="1:11" ht="20.100000000000001" customHeight="1" x14ac:dyDescent="0.3">
      <c r="A7" s="13"/>
      <c r="F7" s="6"/>
    </row>
    <row r="8" spans="1:11" ht="20.100000000000001" customHeight="1" x14ac:dyDescent="0.3">
      <c r="A8" s="13"/>
      <c r="F8" s="6"/>
    </row>
    <row r="9" spans="1:11" ht="20.100000000000001" customHeight="1" x14ac:dyDescent="0.3">
      <c r="A9" s="13"/>
      <c r="F9" s="6"/>
    </row>
    <row r="10" spans="1:11" ht="20.100000000000001" customHeight="1" x14ac:dyDescent="0.3">
      <c r="A10" s="13"/>
      <c r="F10" s="6"/>
    </row>
    <row r="11" spans="1:11" ht="20.100000000000001" customHeight="1" x14ac:dyDescent="0.3">
      <c r="A11" s="13"/>
      <c r="F11" s="6"/>
    </row>
    <row r="12" spans="1:11" ht="20.100000000000001" customHeight="1" x14ac:dyDescent="0.3">
      <c r="A12" s="13"/>
      <c r="F12" s="6"/>
    </row>
    <row r="13" spans="1:11" ht="20.100000000000001" customHeight="1" x14ac:dyDescent="0.3">
      <c r="A13" s="13"/>
      <c r="F13" s="6"/>
    </row>
    <row r="14" spans="1:11" ht="20.100000000000001" customHeight="1" x14ac:dyDescent="0.3">
      <c r="A14" s="13"/>
      <c r="F14" s="6"/>
    </row>
    <row r="15" spans="1:11" ht="20.100000000000001" customHeight="1" x14ac:dyDescent="0.3">
      <c r="A15" s="13"/>
      <c r="F15" s="6"/>
    </row>
    <row r="16" spans="1:11" ht="20.100000000000001" customHeight="1" x14ac:dyDescent="0.3">
      <c r="A16" s="13"/>
      <c r="F16" s="6"/>
    </row>
    <row r="17" spans="1:11" ht="20.100000000000001" customHeight="1" x14ac:dyDescent="0.3">
      <c r="A17" s="13"/>
      <c r="F17" s="6"/>
    </row>
    <row r="18" spans="1:11" ht="20.100000000000001" customHeight="1" x14ac:dyDescent="0.3">
      <c r="A18" s="13"/>
      <c r="F18" s="6"/>
    </row>
    <row r="19" spans="1:11" ht="20.100000000000001" customHeight="1" x14ac:dyDescent="0.3">
      <c r="A19" s="13"/>
      <c r="F19" s="6"/>
    </row>
    <row r="20" spans="1:11" ht="20.100000000000001" customHeight="1" x14ac:dyDescent="0.3">
      <c r="A20" s="13"/>
      <c r="F20" s="6"/>
    </row>
    <row r="21" spans="1:11" ht="20.100000000000001" customHeight="1" x14ac:dyDescent="0.3">
      <c r="A21" s="13"/>
      <c r="F21" s="6"/>
    </row>
    <row r="22" spans="1:11" ht="20.100000000000001" customHeight="1" x14ac:dyDescent="0.3">
      <c r="A22" s="13"/>
      <c r="F22" s="6"/>
    </row>
    <row r="23" spans="1:11" ht="20.100000000000001" customHeight="1" x14ac:dyDescent="0.3">
      <c r="A23" s="13"/>
      <c r="F23" s="6"/>
    </row>
    <row r="24" spans="1:11" ht="20.100000000000001" customHeight="1" x14ac:dyDescent="0.3">
      <c r="A24" s="13"/>
      <c r="F24" s="6"/>
    </row>
    <row r="25" spans="1:11" ht="20.100000000000001" customHeight="1" x14ac:dyDescent="0.3">
      <c r="A25" s="13"/>
      <c r="F25" s="6"/>
    </row>
    <row r="26" spans="1:11" ht="20.100000000000001" customHeight="1" x14ac:dyDescent="0.3">
      <c r="A26" s="13"/>
      <c r="F26" s="6"/>
    </row>
    <row r="27" spans="1:11" ht="14.45" x14ac:dyDescent="0.3">
      <c r="A27" s="95" t="s">
        <v>81</v>
      </c>
      <c r="B27" s="68"/>
      <c r="C27" s="69" t="s">
        <v>101</v>
      </c>
      <c r="D27" s="23"/>
      <c r="E27" s="24"/>
      <c r="F27" s="70"/>
      <c r="G27" s="82" t="s">
        <v>94</v>
      </c>
      <c r="H27" s="156" t="s">
        <v>3</v>
      </c>
      <c r="I27" s="67" t="s">
        <v>56</v>
      </c>
      <c r="J27" s="67"/>
      <c r="K27" s="72"/>
    </row>
    <row r="28" spans="1:11" ht="14.45" x14ac:dyDescent="0.3">
      <c r="A28" s="116" t="s">
        <v>80</v>
      </c>
      <c r="B28" s="8"/>
      <c r="C28" s="5" t="s">
        <v>102</v>
      </c>
      <c r="F28" s="9"/>
      <c r="G28" s="152" t="s">
        <v>93</v>
      </c>
      <c r="H28" s="152" t="s">
        <v>99</v>
      </c>
      <c r="I28" s="3" t="s">
        <v>55</v>
      </c>
      <c r="K28" s="10"/>
    </row>
    <row r="29" spans="1:11" ht="14.45" x14ac:dyDescent="0.3">
      <c r="A29" s="116"/>
      <c r="B29" s="8"/>
      <c r="C29" s="5" t="s">
        <v>103</v>
      </c>
      <c r="F29" s="9"/>
      <c r="G29" s="83"/>
      <c r="H29" s="152" t="s">
        <v>100</v>
      </c>
      <c r="I29" s="3"/>
      <c r="K29" s="10"/>
    </row>
    <row r="30" spans="1:11" ht="14.45" x14ac:dyDescent="0.3">
      <c r="A30" s="37" t="s">
        <v>6</v>
      </c>
      <c r="B30" s="51" t="s">
        <v>7</v>
      </c>
      <c r="C30" s="42" t="s">
        <v>8</v>
      </c>
      <c r="D30" s="37" t="s">
        <v>9</v>
      </c>
      <c r="E30" s="37" t="s">
        <v>10</v>
      </c>
      <c r="F30" s="51" t="s">
        <v>11</v>
      </c>
      <c r="G30" s="84" t="s">
        <v>12</v>
      </c>
      <c r="H30" s="84" t="s">
        <v>13</v>
      </c>
      <c r="I30" s="103"/>
      <c r="J30" s="103"/>
      <c r="K30" s="111" t="s">
        <v>180</v>
      </c>
    </row>
    <row r="31" spans="1:11" ht="77.25" customHeight="1" x14ac:dyDescent="0.3">
      <c r="A31" s="35"/>
      <c r="B31" s="52"/>
      <c r="C31" s="86" t="s">
        <v>107</v>
      </c>
      <c r="D31" s="36" t="s">
        <v>189</v>
      </c>
      <c r="E31" s="35"/>
      <c r="F31" s="241" t="s">
        <v>176</v>
      </c>
      <c r="G31" s="157" t="s">
        <v>104</v>
      </c>
      <c r="H31" s="157" t="s">
        <v>105</v>
      </c>
      <c r="I31" s="199" t="s">
        <v>179</v>
      </c>
      <c r="J31" s="112"/>
      <c r="K31" s="113"/>
    </row>
    <row r="32" spans="1:11" s="7" customFormat="1" ht="57.6" x14ac:dyDescent="0.3">
      <c r="A32" s="15" t="s">
        <v>43</v>
      </c>
      <c r="B32" s="53" t="s">
        <v>42</v>
      </c>
      <c r="C32" s="48" t="s">
        <v>90</v>
      </c>
      <c r="D32" s="16" t="s">
        <v>217</v>
      </c>
      <c r="E32" s="16" t="s">
        <v>24</v>
      </c>
      <c r="F32" s="55" t="s">
        <v>23</v>
      </c>
      <c r="G32" s="85" t="s">
        <v>96</v>
      </c>
      <c r="H32" s="85" t="s">
        <v>41</v>
      </c>
      <c r="I32" s="109" t="s">
        <v>60</v>
      </c>
      <c r="J32" s="109"/>
      <c r="K32" s="110"/>
    </row>
    <row r="33" spans="1:11" ht="18" customHeight="1" x14ac:dyDescent="0.3">
      <c r="A33" s="17" t="s">
        <v>0</v>
      </c>
      <c r="B33" s="54" t="s">
        <v>27</v>
      </c>
      <c r="C33" s="49" t="s">
        <v>68</v>
      </c>
      <c r="D33" s="125">
        <v>200</v>
      </c>
      <c r="E33" s="126">
        <v>187</v>
      </c>
      <c r="F33" s="247">
        <f>E33/D33</f>
        <v>0.93500000000000005</v>
      </c>
      <c r="G33" s="132" t="s">
        <v>110</v>
      </c>
      <c r="H33" s="153">
        <f>$F$45</f>
        <v>0.9713064713064713</v>
      </c>
      <c r="I33" s="107">
        <f>H33</f>
        <v>0.9713064713064713</v>
      </c>
      <c r="J33" s="107" t="s">
        <v>61</v>
      </c>
      <c r="K33" s="108" t="str">
        <f t="shared" ref="K33:K44" si="0">"2015 VBT "&amp;C33&amp;" ALB"</f>
        <v>2015 VBT MNS RR 70 ALB</v>
      </c>
    </row>
    <row r="34" spans="1:11" ht="18" customHeight="1" x14ac:dyDescent="0.3">
      <c r="A34" s="17" t="s">
        <v>1</v>
      </c>
      <c r="B34" s="54" t="s">
        <v>28</v>
      </c>
      <c r="C34" s="49" t="s">
        <v>69</v>
      </c>
      <c r="D34" s="125">
        <v>484</v>
      </c>
      <c r="E34" s="126">
        <v>495</v>
      </c>
      <c r="F34" s="247">
        <f t="shared" ref="F34:F44" si="1">E34/D34</f>
        <v>1.0227272727272727</v>
      </c>
      <c r="G34" s="132" t="s">
        <v>110</v>
      </c>
      <c r="H34" s="153">
        <f t="shared" ref="H34:H36" si="2">$F$45</f>
        <v>0.9713064713064713</v>
      </c>
      <c r="I34" s="107">
        <f t="shared" ref="I34:I44" si="3">H34</f>
        <v>0.9713064713064713</v>
      </c>
      <c r="J34" s="107" t="s">
        <v>61</v>
      </c>
      <c r="K34" s="108" t="str">
        <f t="shared" si="0"/>
        <v>2015 VBT MNS RR 80 ALB</v>
      </c>
    </row>
    <row r="35" spans="1:11" ht="18" customHeight="1" x14ac:dyDescent="0.3">
      <c r="A35" s="17" t="s">
        <v>4</v>
      </c>
      <c r="B35" s="54" t="s">
        <v>29</v>
      </c>
      <c r="C35" s="49" t="s">
        <v>70</v>
      </c>
      <c r="D35" s="125">
        <v>533</v>
      </c>
      <c r="E35" s="126">
        <v>520</v>
      </c>
      <c r="F35" s="247">
        <f t="shared" si="1"/>
        <v>0.97560975609756095</v>
      </c>
      <c r="G35" s="132" t="s">
        <v>110</v>
      </c>
      <c r="H35" s="153">
        <f t="shared" si="2"/>
        <v>0.9713064713064713</v>
      </c>
      <c r="I35" s="107">
        <f t="shared" si="3"/>
        <v>0.9713064713064713</v>
      </c>
      <c r="J35" s="107" t="s">
        <v>61</v>
      </c>
      <c r="K35" s="108" t="str">
        <f t="shared" si="0"/>
        <v>2015 VBT MNS RR 90 ALB</v>
      </c>
    </row>
    <row r="36" spans="1:11" ht="18" customHeight="1" x14ac:dyDescent="0.3">
      <c r="A36" s="78" t="s">
        <v>5</v>
      </c>
      <c r="B36" s="79" t="s">
        <v>114</v>
      </c>
      <c r="C36" s="80" t="s">
        <v>71</v>
      </c>
      <c r="D36" s="128">
        <v>582</v>
      </c>
      <c r="E36" s="129">
        <v>563</v>
      </c>
      <c r="F36" s="251">
        <f t="shared" si="1"/>
        <v>0.96735395189003437</v>
      </c>
      <c r="G36" s="133" t="s">
        <v>110</v>
      </c>
      <c r="H36" s="154">
        <f t="shared" si="2"/>
        <v>0.9713064713064713</v>
      </c>
      <c r="I36" s="123">
        <f t="shared" si="3"/>
        <v>0.9713064713064713</v>
      </c>
      <c r="J36" s="123" t="s">
        <v>61</v>
      </c>
      <c r="K36" s="124" t="str">
        <f t="shared" si="0"/>
        <v>2015 VBT MNS RR 110 ALB</v>
      </c>
    </row>
    <row r="37" spans="1:11" ht="18" customHeight="1" x14ac:dyDescent="0.3">
      <c r="A37" s="74" t="s">
        <v>15</v>
      </c>
      <c r="B37" s="75" t="s">
        <v>30</v>
      </c>
      <c r="C37" s="76" t="s">
        <v>89</v>
      </c>
      <c r="D37" s="130">
        <v>525</v>
      </c>
      <c r="E37" s="131">
        <v>545</v>
      </c>
      <c r="F37" s="245">
        <f>E37/D37</f>
        <v>1.0380952380952382</v>
      </c>
      <c r="G37" s="134" t="s">
        <v>111</v>
      </c>
      <c r="H37" s="155">
        <f>$F$46</f>
        <v>1.0260396424407308</v>
      </c>
      <c r="I37" s="121">
        <f t="shared" si="3"/>
        <v>1.0260396424407308</v>
      </c>
      <c r="J37" s="121" t="s">
        <v>61</v>
      </c>
      <c r="K37" s="122" t="str">
        <f t="shared" si="0"/>
        <v>2015 VBT MSM RR 100 ALB</v>
      </c>
    </row>
    <row r="38" spans="1:11" ht="18" customHeight="1" x14ac:dyDescent="0.3">
      <c r="A38" s="78" t="s">
        <v>16</v>
      </c>
      <c r="B38" s="79" t="s">
        <v>115</v>
      </c>
      <c r="C38" s="80" t="s">
        <v>73</v>
      </c>
      <c r="D38" s="128">
        <v>833</v>
      </c>
      <c r="E38" s="129">
        <v>850</v>
      </c>
      <c r="F38" s="251">
        <f t="shared" si="1"/>
        <v>1.0204081632653061</v>
      </c>
      <c r="G38" s="133" t="s">
        <v>111</v>
      </c>
      <c r="H38" s="154">
        <f>$F$46</f>
        <v>1.0260396424407308</v>
      </c>
      <c r="I38" s="123">
        <f t="shared" si="3"/>
        <v>1.0260396424407308</v>
      </c>
      <c r="J38" s="123" t="s">
        <v>61</v>
      </c>
      <c r="K38" s="124" t="str">
        <f t="shared" si="0"/>
        <v>2015 VBT MSM RR 125 ALB</v>
      </c>
    </row>
    <row r="39" spans="1:11" ht="18" customHeight="1" x14ac:dyDescent="0.3">
      <c r="A39" s="74" t="s">
        <v>17</v>
      </c>
      <c r="B39" s="75" t="s">
        <v>31</v>
      </c>
      <c r="C39" s="76" t="s">
        <v>74</v>
      </c>
      <c r="D39" s="130">
        <v>175</v>
      </c>
      <c r="E39" s="131">
        <v>182</v>
      </c>
      <c r="F39" s="245">
        <f>E39/D39</f>
        <v>1.04</v>
      </c>
      <c r="G39" s="132" t="s">
        <v>110</v>
      </c>
      <c r="H39" s="153">
        <f>$F$45</f>
        <v>0.9713064713064713</v>
      </c>
      <c r="I39" s="121">
        <f t="shared" si="3"/>
        <v>0.9713064713064713</v>
      </c>
      <c r="J39" s="121" t="s">
        <v>61</v>
      </c>
      <c r="K39" s="122" t="str">
        <f t="shared" si="0"/>
        <v>2015 VBT FNS RR 70 ALB</v>
      </c>
    </row>
    <row r="40" spans="1:11" ht="18" customHeight="1" x14ac:dyDescent="0.3">
      <c r="A40" s="17" t="s">
        <v>18</v>
      </c>
      <c r="B40" s="54" t="s">
        <v>32</v>
      </c>
      <c r="C40" s="49" t="s">
        <v>75</v>
      </c>
      <c r="D40" s="130">
        <v>335</v>
      </c>
      <c r="E40" s="126">
        <v>320</v>
      </c>
      <c r="F40" s="245">
        <f t="shared" ref="F40:F41" si="4">E40/D40</f>
        <v>0.95522388059701491</v>
      </c>
      <c r="G40" s="132" t="s">
        <v>110</v>
      </c>
      <c r="H40" s="153">
        <f t="shared" ref="H40:H42" si="5">$F$45</f>
        <v>0.9713064713064713</v>
      </c>
      <c r="I40" s="107">
        <f t="shared" si="3"/>
        <v>0.9713064713064713</v>
      </c>
      <c r="J40" s="107" t="s">
        <v>61</v>
      </c>
      <c r="K40" s="108" t="str">
        <f t="shared" si="0"/>
        <v>2015 VBT FNS RR 80 ALB</v>
      </c>
    </row>
    <row r="41" spans="1:11" ht="18" customHeight="1" x14ac:dyDescent="0.3">
      <c r="A41" s="17" t="s">
        <v>19</v>
      </c>
      <c r="B41" s="54" t="s">
        <v>33</v>
      </c>
      <c r="C41" s="49" t="s">
        <v>76</v>
      </c>
      <c r="D41" s="130">
        <v>425</v>
      </c>
      <c r="E41" s="126">
        <v>384</v>
      </c>
      <c r="F41" s="245">
        <f t="shared" si="4"/>
        <v>0.90352941176470591</v>
      </c>
      <c r="G41" s="132" t="s">
        <v>110</v>
      </c>
      <c r="H41" s="153">
        <f t="shared" si="5"/>
        <v>0.9713064713064713</v>
      </c>
      <c r="I41" s="107">
        <f t="shared" si="3"/>
        <v>0.9713064713064713</v>
      </c>
      <c r="J41" s="107" t="s">
        <v>61</v>
      </c>
      <c r="K41" s="108" t="str">
        <f t="shared" si="0"/>
        <v>2015 VBT FNS RR 90 ALB</v>
      </c>
    </row>
    <row r="42" spans="1:11" ht="18" customHeight="1" x14ac:dyDescent="0.3">
      <c r="A42" s="78" t="s">
        <v>20</v>
      </c>
      <c r="B42" s="79" t="s">
        <v>116</v>
      </c>
      <c r="C42" s="80" t="s">
        <v>77</v>
      </c>
      <c r="D42" s="128">
        <v>542</v>
      </c>
      <c r="E42" s="129">
        <v>531</v>
      </c>
      <c r="F42" s="251">
        <f>E42/D42</f>
        <v>0.97970479704797053</v>
      </c>
      <c r="G42" s="133" t="s">
        <v>110</v>
      </c>
      <c r="H42" s="154">
        <f t="shared" si="5"/>
        <v>0.9713064713064713</v>
      </c>
      <c r="I42" s="123">
        <f t="shared" si="3"/>
        <v>0.9713064713064713</v>
      </c>
      <c r="J42" s="123" t="s">
        <v>61</v>
      </c>
      <c r="K42" s="124" t="str">
        <f t="shared" si="0"/>
        <v>2015 VBT FNS RR 110 ALB</v>
      </c>
    </row>
    <row r="43" spans="1:11" ht="18" customHeight="1" x14ac:dyDescent="0.3">
      <c r="A43" s="74" t="s">
        <v>21</v>
      </c>
      <c r="B43" s="75" t="s">
        <v>34</v>
      </c>
      <c r="C43" s="76" t="s">
        <v>91</v>
      </c>
      <c r="D43" s="130">
        <v>490</v>
      </c>
      <c r="E43" s="131">
        <v>500</v>
      </c>
      <c r="F43" s="245">
        <f>E43/D43</f>
        <v>1.0204081632653061</v>
      </c>
      <c r="G43" s="134" t="s">
        <v>111</v>
      </c>
      <c r="H43" s="155">
        <f>$F$46</f>
        <v>1.0260396424407308</v>
      </c>
      <c r="I43" s="121">
        <f t="shared" si="3"/>
        <v>1.0260396424407308</v>
      </c>
      <c r="J43" s="121" t="s">
        <v>61</v>
      </c>
      <c r="K43" s="122" t="str">
        <f t="shared" si="0"/>
        <v>2015 VBT FSM RR 100 ALB</v>
      </c>
    </row>
    <row r="44" spans="1:11" ht="18" customHeight="1" x14ac:dyDescent="0.3">
      <c r="A44" s="78" t="s">
        <v>22</v>
      </c>
      <c r="B44" s="79" t="s">
        <v>117</v>
      </c>
      <c r="C44" s="80" t="s">
        <v>92</v>
      </c>
      <c r="D44" s="128">
        <v>725</v>
      </c>
      <c r="E44" s="129">
        <v>745</v>
      </c>
      <c r="F44" s="251">
        <f t="shared" si="1"/>
        <v>1.0275862068965518</v>
      </c>
      <c r="G44" s="133" t="s">
        <v>111</v>
      </c>
      <c r="H44" s="154">
        <f>$F$46</f>
        <v>1.0260396424407308</v>
      </c>
      <c r="I44" s="123">
        <f t="shared" si="3"/>
        <v>1.0260396424407308</v>
      </c>
      <c r="J44" s="123" t="s">
        <v>61</v>
      </c>
      <c r="K44" s="124" t="str">
        <f t="shared" si="0"/>
        <v>2015 VBT FSM RR 150 ALB</v>
      </c>
    </row>
    <row r="45" spans="1:11" s="11" customFormat="1" x14ac:dyDescent="0.25">
      <c r="A45" s="87" t="s">
        <v>3</v>
      </c>
      <c r="B45" s="88" t="s">
        <v>108</v>
      </c>
      <c r="C45" s="89"/>
      <c r="D45" s="90">
        <f>SUM(D33:D36,D39:D42)</f>
        <v>3276</v>
      </c>
      <c r="E45" s="119">
        <f>SUM(E33:E36,E39:E42)</f>
        <v>3182</v>
      </c>
      <c r="F45" s="249">
        <f>E45/D45</f>
        <v>0.9713064713064713</v>
      </c>
      <c r="G45" s="91"/>
      <c r="H45" s="91"/>
      <c r="I45" s="93"/>
      <c r="J45" s="93"/>
      <c r="K45" s="94"/>
    </row>
    <row r="46" spans="1:11" s="11" customFormat="1" x14ac:dyDescent="0.25">
      <c r="A46" s="87" t="s">
        <v>3</v>
      </c>
      <c r="B46" s="88" t="s">
        <v>109</v>
      </c>
      <c r="C46" s="89"/>
      <c r="D46" s="90">
        <f>SUM(D37:D38,D43:D44)</f>
        <v>2573</v>
      </c>
      <c r="E46" s="119">
        <f>SUM(E37:E38,E43:E44)</f>
        <v>2640</v>
      </c>
      <c r="F46" s="250">
        <f>E46/D46</f>
        <v>1.0260396424407308</v>
      </c>
      <c r="G46" s="91"/>
      <c r="H46" s="91"/>
      <c r="I46" s="93"/>
      <c r="J46" s="93"/>
      <c r="K46" s="94"/>
    </row>
    <row r="47" spans="1:11" ht="20.100000000000001" customHeight="1" x14ac:dyDescent="0.25">
      <c r="A47" s="22"/>
      <c r="B47" s="23"/>
      <c r="C47" s="23"/>
      <c r="D47" s="120" t="s">
        <v>112</v>
      </c>
      <c r="E47" s="135">
        <v>1</v>
      </c>
      <c r="F47" s="25"/>
      <c r="G47" s="25"/>
      <c r="H47" s="25"/>
      <c r="I47" s="24"/>
      <c r="J47" s="24"/>
      <c r="K47" s="26"/>
    </row>
    <row r="48" spans="1:11" ht="20.100000000000001" customHeight="1" x14ac:dyDescent="0.25">
      <c r="A48" s="160"/>
      <c r="D48" s="158" t="s">
        <v>113</v>
      </c>
      <c r="E48" s="162">
        <v>0.85</v>
      </c>
      <c r="K48" s="161"/>
    </row>
    <row r="49" spans="1:11" ht="20.100000000000001" customHeight="1" x14ac:dyDescent="0.25">
      <c r="A49" s="160"/>
      <c r="D49" s="158"/>
      <c r="E49" s="166"/>
      <c r="K49" s="161"/>
    </row>
    <row r="50" spans="1:11" ht="20.100000000000001" customHeight="1" x14ac:dyDescent="0.25">
      <c r="A50" s="160"/>
      <c r="D50" s="158"/>
      <c r="E50" s="166"/>
      <c r="K50" s="161"/>
    </row>
    <row r="51" spans="1:11" ht="20.100000000000001" customHeight="1" x14ac:dyDescent="0.25">
      <c r="A51" s="27"/>
      <c r="B51" s="28"/>
      <c r="C51" s="28"/>
      <c r="D51" s="28"/>
      <c r="E51" s="28"/>
      <c r="F51" s="28"/>
      <c r="G51" s="28"/>
      <c r="H51" s="28"/>
      <c r="I51" s="30"/>
      <c r="J51" s="30"/>
      <c r="K51" s="34"/>
    </row>
  </sheetData>
  <printOptions horizontalCentered="1"/>
  <pageMargins left="0" right="0" top="0.5" bottom="0" header="0.3" footer="0.3"/>
  <pageSetup scale="6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V61"/>
  <sheetViews>
    <sheetView showGridLines="0" topLeftCell="A28" zoomScale="90" zoomScaleNormal="90" workbookViewId="0">
      <selection activeCell="R38" sqref="R38"/>
    </sheetView>
  </sheetViews>
  <sheetFormatPr defaultRowHeight="15" x14ac:dyDescent="0.25"/>
  <cols>
    <col min="1" max="1" width="11.7109375" customWidth="1"/>
    <col min="2" max="2" width="19.85546875" style="1" customWidth="1"/>
    <col min="3" max="3" width="12.85546875" style="1" customWidth="1"/>
    <col min="4" max="4" width="17.42578125" style="1" customWidth="1"/>
    <col min="5" max="7" width="9.7109375" customWidth="1"/>
    <col min="8" max="8" width="7.140625" style="4" bestFit="1" customWidth="1"/>
    <col min="9" max="11" width="12.140625" style="4" customWidth="1"/>
    <col min="12" max="12" width="2.140625" style="4" customWidth="1"/>
    <col min="13" max="13" width="13.28515625" style="4" customWidth="1"/>
    <col min="14" max="14" width="2.85546875" style="4" customWidth="1"/>
    <col min="15" max="15" width="13.28515625" style="4" customWidth="1"/>
    <col min="16" max="16" width="15" customWidth="1"/>
    <col min="17" max="17" width="14.7109375" style="4" customWidth="1"/>
    <col min="18" max="18" width="16.140625" style="4" customWidth="1"/>
    <col min="19" max="19" width="14.85546875" customWidth="1"/>
    <col min="20" max="20" width="7" customWidth="1"/>
    <col min="21" max="21" width="3.28515625" customWidth="1"/>
    <col min="22" max="22" width="24.7109375" customWidth="1"/>
  </cols>
  <sheetData>
    <row r="1" spans="1:22" ht="18" x14ac:dyDescent="0.35">
      <c r="A1" s="118" t="s">
        <v>219</v>
      </c>
      <c r="H1" s="6"/>
      <c r="V1" s="264">
        <f>'Relativistic Method - Example 1'!$K$1</f>
        <v>43651</v>
      </c>
    </row>
    <row r="2" spans="1:22" ht="14.45" x14ac:dyDescent="0.3">
      <c r="A2" s="3"/>
      <c r="H2" s="6"/>
    </row>
    <row r="3" spans="1:22" ht="20.100000000000001" customHeight="1" x14ac:dyDescent="0.3">
      <c r="A3" s="13"/>
      <c r="H3" s="6"/>
    </row>
    <row r="4" spans="1:22" ht="20.100000000000001" customHeight="1" x14ac:dyDescent="0.3">
      <c r="A4" s="13"/>
      <c r="H4" s="6"/>
    </row>
    <row r="5" spans="1:22" ht="20.100000000000001" customHeight="1" x14ac:dyDescent="0.3">
      <c r="A5" s="13"/>
      <c r="H5" s="6"/>
    </row>
    <row r="6" spans="1:22" ht="20.100000000000001" customHeight="1" x14ac:dyDescent="0.3">
      <c r="A6" s="13"/>
      <c r="H6" s="6"/>
    </row>
    <row r="7" spans="1:22" ht="20.100000000000001" customHeight="1" x14ac:dyDescent="0.3">
      <c r="A7" s="13"/>
      <c r="H7" s="6"/>
    </row>
    <row r="8" spans="1:22" ht="20.100000000000001" customHeight="1" x14ac:dyDescent="0.3">
      <c r="A8" s="13"/>
      <c r="H8" s="6"/>
    </row>
    <row r="9" spans="1:22" ht="20.100000000000001" customHeight="1" x14ac:dyDescent="0.3">
      <c r="A9" s="13"/>
      <c r="H9" s="6"/>
    </row>
    <row r="10" spans="1:22" ht="20.100000000000001" customHeight="1" x14ac:dyDescent="0.3">
      <c r="A10" s="13"/>
      <c r="H10" s="6"/>
    </row>
    <row r="11" spans="1:22" ht="20.100000000000001" customHeight="1" x14ac:dyDescent="0.3">
      <c r="A11" s="13"/>
      <c r="H11" s="6"/>
    </row>
    <row r="12" spans="1:22" ht="20.100000000000001" customHeight="1" x14ac:dyDescent="0.3">
      <c r="A12" s="13"/>
      <c r="H12" s="6"/>
    </row>
    <row r="13" spans="1:22" ht="20.100000000000001" customHeight="1" x14ac:dyDescent="0.3">
      <c r="A13" s="13"/>
      <c r="H13" s="6"/>
    </row>
    <row r="14" spans="1:22" ht="20.100000000000001" customHeight="1" x14ac:dyDescent="0.3">
      <c r="A14" s="13"/>
      <c r="H14" s="6"/>
    </row>
    <row r="15" spans="1:22" ht="20.100000000000001" customHeight="1" x14ac:dyDescent="0.3">
      <c r="A15" s="13"/>
      <c r="H15" s="6"/>
    </row>
    <row r="16" spans="1:22" ht="20.100000000000001" customHeight="1" x14ac:dyDescent="0.3">
      <c r="A16" s="13"/>
      <c r="H16" s="6"/>
    </row>
    <row r="17" spans="1:22" ht="20.100000000000001" customHeight="1" x14ac:dyDescent="0.3">
      <c r="A17" s="13"/>
      <c r="H17" s="6"/>
    </row>
    <row r="18" spans="1:22" ht="20.100000000000001" customHeight="1" x14ac:dyDescent="0.3">
      <c r="A18" s="13"/>
      <c r="H18" s="6"/>
    </row>
    <row r="19" spans="1:22" ht="20.100000000000001" customHeight="1" x14ac:dyDescent="0.3">
      <c r="A19" s="13"/>
      <c r="H19" s="6"/>
    </row>
    <row r="20" spans="1:22" ht="20.100000000000001" customHeight="1" x14ac:dyDescent="0.3">
      <c r="A20" s="13"/>
      <c r="H20" s="6"/>
    </row>
    <row r="21" spans="1:22" ht="20.100000000000001" customHeight="1" x14ac:dyDescent="0.3">
      <c r="A21" s="13"/>
      <c r="H21" s="6"/>
    </row>
    <row r="22" spans="1:22" ht="20.100000000000001" customHeight="1" x14ac:dyDescent="0.3">
      <c r="A22" s="13"/>
      <c r="H22" s="6"/>
    </row>
    <row r="23" spans="1:22" ht="20.100000000000001" customHeight="1" x14ac:dyDescent="0.3">
      <c r="A23" s="13"/>
      <c r="H23" s="6"/>
    </row>
    <row r="24" spans="1:22" ht="20.100000000000001" customHeight="1" x14ac:dyDescent="0.3">
      <c r="A24" s="13"/>
      <c r="H24" s="6"/>
    </row>
    <row r="25" spans="1:22" ht="20.100000000000001" customHeight="1" x14ac:dyDescent="0.3">
      <c r="A25" s="13"/>
      <c r="H25" s="6"/>
    </row>
    <row r="26" spans="1:22" ht="20.100000000000001" customHeight="1" x14ac:dyDescent="0.3">
      <c r="A26" s="13"/>
      <c r="H26" s="6"/>
    </row>
    <row r="27" spans="1:22" ht="20.100000000000001" customHeight="1" x14ac:dyDescent="0.3">
      <c r="A27" s="13"/>
      <c r="H27" s="6"/>
    </row>
    <row r="28" spans="1:22" ht="20.100000000000001" customHeight="1" x14ac:dyDescent="0.3">
      <c r="A28" s="13"/>
      <c r="H28" s="6"/>
    </row>
    <row r="29" spans="1:22" ht="20.100000000000001" customHeight="1" x14ac:dyDescent="0.3">
      <c r="A29" s="13"/>
      <c r="H29" s="6"/>
    </row>
    <row r="30" spans="1:22" ht="20.100000000000001" customHeight="1" x14ac:dyDescent="0.25">
      <c r="A30" s="13"/>
      <c r="H30" s="6"/>
    </row>
    <row r="31" spans="1:22" ht="18.75" x14ac:dyDescent="0.35">
      <c r="A31" s="95" t="s">
        <v>81</v>
      </c>
      <c r="B31" s="68"/>
      <c r="C31" s="69" t="s">
        <v>101</v>
      </c>
      <c r="D31" s="23"/>
      <c r="E31" s="24"/>
      <c r="F31" s="24"/>
      <c r="G31" s="24"/>
      <c r="H31" s="70"/>
      <c r="I31" s="71" t="s">
        <v>94</v>
      </c>
      <c r="J31" s="196" t="s">
        <v>158</v>
      </c>
      <c r="K31" s="69" t="s">
        <v>198</v>
      </c>
      <c r="L31" s="69"/>
      <c r="M31" s="185"/>
      <c r="N31" s="185"/>
      <c r="O31" s="196"/>
      <c r="P31" s="67" t="s">
        <v>201</v>
      </c>
      <c r="Q31" s="25"/>
      <c r="R31" s="25"/>
      <c r="S31" s="72"/>
      <c r="T31" s="67" t="s">
        <v>56</v>
      </c>
      <c r="U31" s="67"/>
      <c r="V31" s="72"/>
    </row>
    <row r="32" spans="1:22" ht="18.75" x14ac:dyDescent="0.35">
      <c r="A32" s="116" t="s">
        <v>80</v>
      </c>
      <c r="B32" s="8"/>
      <c r="C32" s="5" t="s">
        <v>102</v>
      </c>
      <c r="H32" s="9"/>
      <c r="I32" s="189" t="s">
        <v>93</v>
      </c>
      <c r="J32" s="188" t="s">
        <v>164</v>
      </c>
      <c r="K32" s="5" t="s">
        <v>199</v>
      </c>
      <c r="L32" s="186"/>
      <c r="M32" s="186"/>
      <c r="N32" s="186"/>
      <c r="O32" s="188"/>
      <c r="P32" s="3" t="s">
        <v>200</v>
      </c>
      <c r="S32" s="10"/>
      <c r="T32" s="3" t="s">
        <v>55</v>
      </c>
      <c r="V32" s="10"/>
    </row>
    <row r="33" spans="1:22" ht="18.75" x14ac:dyDescent="0.35">
      <c r="A33" s="116"/>
      <c r="B33" s="8"/>
      <c r="C33" s="5" t="s">
        <v>103</v>
      </c>
      <c r="H33" s="9"/>
      <c r="I33" s="12"/>
      <c r="J33" s="9"/>
      <c r="K33" s="5" t="s">
        <v>203</v>
      </c>
      <c r="M33" s="186"/>
      <c r="N33" s="186"/>
      <c r="O33" s="188"/>
      <c r="P33" s="3" t="s">
        <v>202</v>
      </c>
      <c r="S33" s="10"/>
      <c r="T33" s="3"/>
      <c r="V33" s="10"/>
    </row>
    <row r="34" spans="1:22" x14ac:dyDescent="0.25">
      <c r="A34" s="37" t="s">
        <v>6</v>
      </c>
      <c r="B34" s="51" t="s">
        <v>7</v>
      </c>
      <c r="C34" s="42" t="s">
        <v>8</v>
      </c>
      <c r="D34" s="37" t="s">
        <v>9</v>
      </c>
      <c r="E34" s="37" t="s">
        <v>10</v>
      </c>
      <c r="F34" s="41"/>
      <c r="G34" s="41"/>
      <c r="H34" s="51" t="s">
        <v>11</v>
      </c>
      <c r="I34" s="227" t="s">
        <v>12</v>
      </c>
      <c r="J34" s="59" t="s">
        <v>13</v>
      </c>
      <c r="K34" s="215" t="s">
        <v>14</v>
      </c>
      <c r="L34" s="215"/>
      <c r="M34" s="42" t="s">
        <v>25</v>
      </c>
      <c r="N34" s="207"/>
      <c r="O34" s="59" t="s">
        <v>26</v>
      </c>
      <c r="P34" s="42" t="s">
        <v>35</v>
      </c>
      <c r="Q34" s="37" t="s">
        <v>36</v>
      </c>
      <c r="R34" s="207" t="s">
        <v>37</v>
      </c>
      <c r="S34" s="59" t="s">
        <v>168</v>
      </c>
      <c r="T34" s="103"/>
      <c r="U34" s="103"/>
      <c r="V34" s="111" t="s">
        <v>169</v>
      </c>
    </row>
    <row r="35" spans="1:22" ht="77.25" customHeight="1" x14ac:dyDescent="0.25">
      <c r="A35" s="35"/>
      <c r="B35" s="52"/>
      <c r="C35" s="86" t="s">
        <v>107</v>
      </c>
      <c r="D35" s="36" t="s">
        <v>189</v>
      </c>
      <c r="E35" s="35"/>
      <c r="F35" s="43"/>
      <c r="G35" s="43"/>
      <c r="H35" s="241" t="s">
        <v>176</v>
      </c>
      <c r="I35" s="228" t="s">
        <v>104</v>
      </c>
      <c r="J35" s="191" t="s">
        <v>210</v>
      </c>
      <c r="K35" s="216" t="s">
        <v>208</v>
      </c>
      <c r="L35" s="216"/>
      <c r="M35" s="86" t="s">
        <v>181</v>
      </c>
      <c r="N35" s="214"/>
      <c r="O35" s="191" t="s">
        <v>196</v>
      </c>
      <c r="P35" s="56" t="s">
        <v>212</v>
      </c>
      <c r="Q35" s="36" t="s">
        <v>58</v>
      </c>
      <c r="R35" s="236" t="s">
        <v>170</v>
      </c>
      <c r="S35" s="191" t="s">
        <v>214</v>
      </c>
      <c r="T35" s="388" t="s">
        <v>215</v>
      </c>
      <c r="U35" s="389"/>
      <c r="V35" s="390"/>
    </row>
    <row r="36" spans="1:22" s="7" customFormat="1" ht="63" x14ac:dyDescent="0.35">
      <c r="A36" s="15" t="s">
        <v>43</v>
      </c>
      <c r="B36" s="53" t="s">
        <v>42</v>
      </c>
      <c r="C36" s="48" t="s">
        <v>90</v>
      </c>
      <c r="D36" s="16" t="s">
        <v>218</v>
      </c>
      <c r="E36" s="16" t="s">
        <v>205</v>
      </c>
      <c r="F36" s="273"/>
      <c r="G36" s="273"/>
      <c r="H36" s="55" t="s">
        <v>23</v>
      </c>
      <c r="I36" s="229" t="s">
        <v>96</v>
      </c>
      <c r="J36" s="198" t="s">
        <v>206</v>
      </c>
      <c r="K36" s="213" t="s">
        <v>207</v>
      </c>
      <c r="L36" s="213" t="s">
        <v>45</v>
      </c>
      <c r="M36" s="213" t="s">
        <v>216</v>
      </c>
      <c r="N36" s="213" t="s">
        <v>47</v>
      </c>
      <c r="O36" s="198" t="s">
        <v>204</v>
      </c>
      <c r="P36" s="45" t="s">
        <v>211</v>
      </c>
      <c r="Q36" s="45" t="s">
        <v>213</v>
      </c>
      <c r="R36" s="45" t="s">
        <v>197</v>
      </c>
      <c r="S36" s="55" t="s">
        <v>209</v>
      </c>
      <c r="T36" s="109" t="s">
        <v>60</v>
      </c>
      <c r="U36" s="109"/>
      <c r="V36" s="110"/>
    </row>
    <row r="37" spans="1:22" ht="18" customHeight="1" x14ac:dyDescent="0.25">
      <c r="A37" s="17" t="s">
        <v>0</v>
      </c>
      <c r="B37" s="54" t="s">
        <v>27</v>
      </c>
      <c r="C37" s="49" t="s">
        <v>68</v>
      </c>
      <c r="D37" s="125">
        <v>1000</v>
      </c>
      <c r="E37" s="126">
        <v>952</v>
      </c>
      <c r="F37" s="274"/>
      <c r="G37" s="274"/>
      <c r="H37" s="247">
        <f>E37/D37</f>
        <v>0.95199999999999996</v>
      </c>
      <c r="I37" s="230" t="s">
        <v>154</v>
      </c>
      <c r="J37" s="233" t="s">
        <v>5</v>
      </c>
      <c r="K37" s="256">
        <f>$H$40</f>
        <v>0.96735395189003437</v>
      </c>
      <c r="L37" s="224" t="s">
        <v>45</v>
      </c>
      <c r="M37" s="200">
        <v>0.6</v>
      </c>
      <c r="N37" s="217" t="s">
        <v>47</v>
      </c>
      <c r="O37" s="220">
        <f>K37*M37</f>
        <v>0.58041237113402055</v>
      </c>
      <c r="P37" s="192">
        <f>O37*(D37*(TRIM(RIGHT($C$40,3))/TRIM(RIGHT(C37,3))))</f>
        <v>912.07658321060364</v>
      </c>
      <c r="Q37" s="18">
        <f>O37*Q$58</f>
        <v>0.60369475111614235</v>
      </c>
      <c r="R37" s="209">
        <f>P37*$Q$58</f>
        <v>948.66318032536651</v>
      </c>
      <c r="S37" s="280">
        <f>Q37/Q$40</f>
        <v>0.59999999999999987</v>
      </c>
      <c r="T37" s="238">
        <f>Q37*(TRIM(RIGHT($C$40,3))/TRIM(RIGHT(C37,3)))</f>
        <v>0.94866318032536656</v>
      </c>
      <c r="U37" s="107" t="s">
        <v>61</v>
      </c>
      <c r="V37" s="108" t="str">
        <f t="shared" ref="V37:V48" si="0">"2015 VBT "&amp;C37&amp;" ALB"</f>
        <v>2015 VBT MNS RR 70 ALB</v>
      </c>
    </row>
    <row r="38" spans="1:22" ht="18" customHeight="1" x14ac:dyDescent="0.25">
      <c r="A38" s="17" t="s">
        <v>1</v>
      </c>
      <c r="B38" s="54" t="s">
        <v>28</v>
      </c>
      <c r="C38" s="49" t="s">
        <v>69</v>
      </c>
      <c r="D38" s="125">
        <v>2420</v>
      </c>
      <c r="E38" s="126">
        <v>2475</v>
      </c>
      <c r="F38" s="274"/>
      <c r="G38" s="274"/>
      <c r="H38" s="247">
        <f t="shared" ref="H38:H48" si="1">E38/D38</f>
        <v>1.0227272727272727</v>
      </c>
      <c r="I38" s="230" t="s">
        <v>154</v>
      </c>
      <c r="J38" s="233" t="s">
        <v>5</v>
      </c>
      <c r="K38" s="256">
        <f t="shared" ref="K38:K40" si="2">$H$40</f>
        <v>0.96735395189003437</v>
      </c>
      <c r="L38" s="224" t="s">
        <v>45</v>
      </c>
      <c r="M38" s="200">
        <v>0.7</v>
      </c>
      <c r="N38" s="217" t="s">
        <v>47</v>
      </c>
      <c r="O38" s="220">
        <f>K38*M38</f>
        <v>0.67714776632302398</v>
      </c>
      <c r="P38" s="192">
        <f>O38*(D38*(TRIM(RIGHT($C$40,3))/TRIM(RIGHT(C38,3))))</f>
        <v>2253.2091924398624</v>
      </c>
      <c r="Q38" s="18">
        <f>O38*Q$58</f>
        <v>0.70431054296883278</v>
      </c>
      <c r="R38" s="209">
        <f>P38*$Q$58</f>
        <v>2343.5933317287913</v>
      </c>
      <c r="S38" s="280">
        <f t="shared" ref="S38:S40" si="3">Q38/Q$40</f>
        <v>0.7</v>
      </c>
      <c r="T38" s="238">
        <f>Q38*(TRIM(RIGHT($C$40,3))/TRIM(RIGHT(C38,3)))</f>
        <v>0.96842699658214504</v>
      </c>
      <c r="U38" s="107" t="s">
        <v>61</v>
      </c>
      <c r="V38" s="108" t="str">
        <f t="shared" si="0"/>
        <v>2015 VBT MNS RR 80 ALB</v>
      </c>
    </row>
    <row r="39" spans="1:22" ht="18" customHeight="1" x14ac:dyDescent="0.25">
      <c r="A39" s="17" t="s">
        <v>4</v>
      </c>
      <c r="B39" s="54" t="s">
        <v>29</v>
      </c>
      <c r="C39" s="49" t="s">
        <v>70</v>
      </c>
      <c r="D39" s="125">
        <v>2665</v>
      </c>
      <c r="E39" s="126">
        <v>2600</v>
      </c>
      <c r="F39" s="274"/>
      <c r="G39" s="274"/>
      <c r="H39" s="247">
        <f t="shared" si="1"/>
        <v>0.97560975609756095</v>
      </c>
      <c r="I39" s="230" t="s">
        <v>154</v>
      </c>
      <c r="J39" s="233" t="s">
        <v>5</v>
      </c>
      <c r="K39" s="256">
        <f>$H$40</f>
        <v>0.96735395189003437</v>
      </c>
      <c r="L39" s="224" t="s">
        <v>45</v>
      </c>
      <c r="M39" s="200">
        <v>0.8</v>
      </c>
      <c r="N39" s="217" t="s">
        <v>47</v>
      </c>
      <c r="O39" s="220">
        <f>K39*M39</f>
        <v>0.77388316151202752</v>
      </c>
      <c r="P39" s="192">
        <f t="shared" ref="P39:P40" si="4">O39*(D39*(TRIM(RIGHT($C$40,3))/TRIM(RIGHT(C39,3))))</f>
        <v>2520.7094310805655</v>
      </c>
      <c r="Q39" s="18">
        <f>O39*Q$58</f>
        <v>0.80492633482152331</v>
      </c>
      <c r="R39" s="209">
        <f>P39*$Q$58</f>
        <v>2621.8239450325509</v>
      </c>
      <c r="S39" s="280">
        <f t="shared" si="3"/>
        <v>0.8</v>
      </c>
      <c r="T39" s="238">
        <f t="shared" ref="T39:T40" si="5">Q39*(TRIM(RIGHT($C$40,3))/TRIM(RIGHT(C39,3)))</f>
        <v>0.98379885367075082</v>
      </c>
      <c r="U39" s="107" t="s">
        <v>61</v>
      </c>
      <c r="V39" s="108" t="str">
        <f t="shared" si="0"/>
        <v>2015 VBT MNS RR 90 ALB</v>
      </c>
    </row>
    <row r="40" spans="1:22" ht="18" customHeight="1" x14ac:dyDescent="0.25">
      <c r="A40" s="78" t="s">
        <v>5</v>
      </c>
      <c r="B40" s="79" t="s">
        <v>114</v>
      </c>
      <c r="C40" s="80" t="s">
        <v>71</v>
      </c>
      <c r="D40" s="128">
        <v>2910</v>
      </c>
      <c r="E40" s="129">
        <v>2815</v>
      </c>
      <c r="F40" s="275"/>
      <c r="G40" s="275"/>
      <c r="H40" s="246">
        <f t="shared" si="1"/>
        <v>0.96735395189003437</v>
      </c>
      <c r="I40" s="231" t="s">
        <v>154</v>
      </c>
      <c r="J40" s="234" t="s">
        <v>5</v>
      </c>
      <c r="K40" s="257">
        <f t="shared" si="2"/>
        <v>0.96735395189003437</v>
      </c>
      <c r="L40" s="225" t="s">
        <v>45</v>
      </c>
      <c r="M40" s="201">
        <v>1</v>
      </c>
      <c r="N40" s="218" t="s">
        <v>47</v>
      </c>
      <c r="O40" s="221">
        <f>K40*M40</f>
        <v>0.96735395189003437</v>
      </c>
      <c r="P40" s="242">
        <f t="shared" si="4"/>
        <v>2815</v>
      </c>
      <c r="Q40" s="81">
        <f>O40*Q$58</f>
        <v>1.0061579185269041</v>
      </c>
      <c r="R40" s="210">
        <f>P40*$Q$58</f>
        <v>2927.919542913291</v>
      </c>
      <c r="S40" s="281">
        <f t="shared" si="3"/>
        <v>1</v>
      </c>
      <c r="T40" s="239">
        <f t="shared" si="5"/>
        <v>1.0061579185269041</v>
      </c>
      <c r="U40" s="123" t="s">
        <v>61</v>
      </c>
      <c r="V40" s="124" t="str">
        <f t="shared" si="0"/>
        <v>2015 VBT MNS RR 110 ALB</v>
      </c>
    </row>
    <row r="41" spans="1:22" ht="18" customHeight="1" x14ac:dyDescent="0.25">
      <c r="A41" s="74" t="s">
        <v>15</v>
      </c>
      <c r="B41" s="75" t="s">
        <v>30</v>
      </c>
      <c r="C41" s="76" t="s">
        <v>89</v>
      </c>
      <c r="D41" s="130">
        <v>2625</v>
      </c>
      <c r="E41" s="131">
        <v>2500</v>
      </c>
      <c r="F41" s="276"/>
      <c r="G41" s="276"/>
      <c r="H41" s="245">
        <f>E41/D41</f>
        <v>0.95238095238095233</v>
      </c>
      <c r="I41" s="232" t="s">
        <v>155</v>
      </c>
      <c r="J41" s="235" t="s">
        <v>16</v>
      </c>
      <c r="K41" s="258">
        <f>$H$42</f>
        <v>1.0204081632653061</v>
      </c>
      <c r="L41" s="226" t="s">
        <v>45</v>
      </c>
      <c r="M41" s="202">
        <v>0.7</v>
      </c>
      <c r="N41" s="214" t="s">
        <v>47</v>
      </c>
      <c r="O41" s="222">
        <f t="shared" ref="O41:O48" si="6">K41*M41</f>
        <v>0.7142857142857143</v>
      </c>
      <c r="P41" s="194">
        <f>O41*(D41*(TRIM(RIGHT($C$42,3))/TRIM(RIGHT(C41,3))))</f>
        <v>2343.75</v>
      </c>
      <c r="Q41" s="77">
        <f>O41*Q$59</f>
        <v>0.73121191604603919</v>
      </c>
      <c r="R41" s="211">
        <f>P41*$Q$59</f>
        <v>2399.2890995260664</v>
      </c>
      <c r="S41" s="282">
        <f>Q41/Q$42</f>
        <v>0.7</v>
      </c>
      <c r="T41" s="240">
        <f>Q41*(TRIM(RIGHT($C$42,3))/TRIM(RIGHT(C41,3)))</f>
        <v>0.91401489505754896</v>
      </c>
      <c r="U41" s="121" t="s">
        <v>61</v>
      </c>
      <c r="V41" s="122" t="str">
        <f t="shared" si="0"/>
        <v>2015 VBT MSM RR 100 ALB</v>
      </c>
    </row>
    <row r="42" spans="1:22" ht="18" customHeight="1" x14ac:dyDescent="0.25">
      <c r="A42" s="78" t="s">
        <v>16</v>
      </c>
      <c r="B42" s="79" t="s">
        <v>115</v>
      </c>
      <c r="C42" s="80" t="s">
        <v>73</v>
      </c>
      <c r="D42" s="128">
        <v>4165</v>
      </c>
      <c r="E42" s="129">
        <v>4250</v>
      </c>
      <c r="F42" s="275"/>
      <c r="G42" s="275"/>
      <c r="H42" s="246">
        <f t="shared" si="1"/>
        <v>1.0204081632653061</v>
      </c>
      <c r="I42" s="231" t="s">
        <v>155</v>
      </c>
      <c r="J42" s="234" t="s">
        <v>16</v>
      </c>
      <c r="K42" s="257">
        <f>$H$42</f>
        <v>1.0204081632653061</v>
      </c>
      <c r="L42" s="225" t="s">
        <v>45</v>
      </c>
      <c r="M42" s="201">
        <v>1</v>
      </c>
      <c r="N42" s="218" t="s">
        <v>47</v>
      </c>
      <c r="O42" s="221">
        <f t="shared" si="6"/>
        <v>1.0204081632653061</v>
      </c>
      <c r="P42" s="242">
        <f>O42*(D42*(TRIM(RIGHT($C$42,3))/TRIM(RIGHT(C42,3))))</f>
        <v>4250</v>
      </c>
      <c r="Q42" s="81">
        <f>O42*Q$59</f>
        <v>1.0445884514943418</v>
      </c>
      <c r="R42" s="210">
        <f>P42*$Q$59</f>
        <v>4350.7109004739332</v>
      </c>
      <c r="S42" s="281">
        <f>Q42/Q$42</f>
        <v>1</v>
      </c>
      <c r="T42" s="239">
        <f>Q42*(TRIM(RIGHT($C$42,3))/TRIM(RIGHT(C42,3)))</f>
        <v>1.0445884514943418</v>
      </c>
      <c r="U42" s="123" t="s">
        <v>61</v>
      </c>
      <c r="V42" s="124" t="str">
        <f t="shared" si="0"/>
        <v>2015 VBT MSM RR 125 ALB</v>
      </c>
    </row>
    <row r="43" spans="1:22" ht="18" customHeight="1" x14ac:dyDescent="0.25">
      <c r="A43" s="74" t="s">
        <v>17</v>
      </c>
      <c r="B43" s="75" t="s">
        <v>31</v>
      </c>
      <c r="C43" s="76" t="s">
        <v>74</v>
      </c>
      <c r="D43" s="130">
        <v>875</v>
      </c>
      <c r="E43" s="131">
        <v>910</v>
      </c>
      <c r="F43" s="276"/>
      <c r="G43" s="276"/>
      <c r="H43" s="245">
        <f>E43/D43</f>
        <v>1.04</v>
      </c>
      <c r="I43" s="230" t="s">
        <v>156</v>
      </c>
      <c r="J43" s="233" t="s">
        <v>20</v>
      </c>
      <c r="K43" s="256">
        <f>$H$46</f>
        <v>0.96678966789667897</v>
      </c>
      <c r="L43" s="226" t="s">
        <v>45</v>
      </c>
      <c r="M43" s="200">
        <v>0.65</v>
      </c>
      <c r="N43" s="214" t="s">
        <v>47</v>
      </c>
      <c r="O43" s="222">
        <f t="shared" si="6"/>
        <v>0.62841328413284137</v>
      </c>
      <c r="P43" s="194">
        <f>O43*(D43*(TRIM(RIGHT($C$46,3))/TRIM(RIGHT(C43,3))))</f>
        <v>864.06826568265683</v>
      </c>
      <c r="Q43" s="77">
        <f>O43*Q$60</f>
        <v>0.61729007151576942</v>
      </c>
      <c r="R43" s="211">
        <f>P43*$Q$60</f>
        <v>848.77384833418296</v>
      </c>
      <c r="S43" s="282">
        <f>Q43/Q$46</f>
        <v>0.65</v>
      </c>
      <c r="T43" s="240">
        <f>Q43*(TRIM(RIGHT($C$46,3))/TRIM(RIGHT(C43,3)))</f>
        <v>0.97002725523906619</v>
      </c>
      <c r="U43" s="121" t="s">
        <v>61</v>
      </c>
      <c r="V43" s="122" t="str">
        <f t="shared" si="0"/>
        <v>2015 VBT FNS RR 70 ALB</v>
      </c>
    </row>
    <row r="44" spans="1:22" ht="18" customHeight="1" x14ac:dyDescent="0.25">
      <c r="A44" s="17" t="s">
        <v>18</v>
      </c>
      <c r="B44" s="54" t="s">
        <v>32</v>
      </c>
      <c r="C44" s="49" t="s">
        <v>75</v>
      </c>
      <c r="D44" s="130">
        <v>1675</v>
      </c>
      <c r="E44" s="126">
        <v>1600</v>
      </c>
      <c r="F44" s="276"/>
      <c r="G44" s="276"/>
      <c r="H44" s="245">
        <f t="shared" ref="H44:H45" si="7">E44/D44</f>
        <v>0.95522388059701491</v>
      </c>
      <c r="I44" s="230" t="s">
        <v>156</v>
      </c>
      <c r="J44" s="233" t="s">
        <v>20</v>
      </c>
      <c r="K44" s="256">
        <f t="shared" ref="K44:K46" si="8">$H$46</f>
        <v>0.96678966789667897</v>
      </c>
      <c r="L44" s="226" t="s">
        <v>45</v>
      </c>
      <c r="M44" s="200">
        <v>0.7</v>
      </c>
      <c r="N44" s="214" t="s">
        <v>47</v>
      </c>
      <c r="O44" s="220">
        <f t="shared" si="6"/>
        <v>0.67675276752767521</v>
      </c>
      <c r="P44" s="192">
        <f t="shared" ref="P44:P46" si="9">O44*(D44*(TRIM(RIGHT($C$46,3))/TRIM(RIGHT(C44,3))))</f>
        <v>1558.6462177121771</v>
      </c>
      <c r="Q44" s="18">
        <f>O44*Q$60</f>
        <v>0.66477392317082851</v>
      </c>
      <c r="R44" s="209">
        <f>P44*$Q$60</f>
        <v>1531.0574418028145</v>
      </c>
      <c r="S44" s="280">
        <f t="shared" ref="S44:S46" si="10">Q44/Q$46</f>
        <v>0.7</v>
      </c>
      <c r="T44" s="238">
        <f t="shared" ref="T44:T46" si="11">Q44*(TRIM(RIGHT($C$46,3))/TRIM(RIGHT(C44,3)))</f>
        <v>0.91406414435988914</v>
      </c>
      <c r="U44" s="107" t="s">
        <v>61</v>
      </c>
      <c r="V44" s="108" t="str">
        <f t="shared" si="0"/>
        <v>2015 VBT FNS RR 80 ALB</v>
      </c>
    </row>
    <row r="45" spans="1:22" ht="18" customHeight="1" x14ac:dyDescent="0.25">
      <c r="A45" s="17" t="s">
        <v>19</v>
      </c>
      <c r="B45" s="54" t="s">
        <v>33</v>
      </c>
      <c r="C45" s="49" t="s">
        <v>76</v>
      </c>
      <c r="D45" s="130">
        <v>2125</v>
      </c>
      <c r="E45" s="126">
        <v>1920</v>
      </c>
      <c r="F45" s="276"/>
      <c r="G45" s="276"/>
      <c r="H45" s="245">
        <f t="shared" si="7"/>
        <v>0.90352941176470591</v>
      </c>
      <c r="I45" s="230" t="s">
        <v>156</v>
      </c>
      <c r="J45" s="233" t="s">
        <v>20</v>
      </c>
      <c r="K45" s="256">
        <f t="shared" si="8"/>
        <v>0.96678966789667897</v>
      </c>
      <c r="L45" s="226" t="s">
        <v>45</v>
      </c>
      <c r="M45" s="200">
        <v>0.85</v>
      </c>
      <c r="N45" s="214" t="s">
        <v>47</v>
      </c>
      <c r="O45" s="220">
        <f t="shared" si="6"/>
        <v>0.82177121771217709</v>
      </c>
      <c r="P45" s="192">
        <f t="shared" si="9"/>
        <v>2134.3224682246823</v>
      </c>
      <c r="Q45" s="18">
        <f>O45*Q$60</f>
        <v>0.80722547813600609</v>
      </c>
      <c r="R45" s="209">
        <f>P45*$Q$60</f>
        <v>2096.5439501587939</v>
      </c>
      <c r="S45" s="280">
        <f t="shared" si="10"/>
        <v>0.85</v>
      </c>
      <c r="T45" s="238">
        <f t="shared" si="11"/>
        <v>0.98660891772178527</v>
      </c>
      <c r="U45" s="107" t="s">
        <v>61</v>
      </c>
      <c r="V45" s="108" t="str">
        <f t="shared" si="0"/>
        <v>2015 VBT FNS RR 90 ALB</v>
      </c>
    </row>
    <row r="46" spans="1:22" ht="18" customHeight="1" x14ac:dyDescent="0.25">
      <c r="A46" s="78" t="s">
        <v>20</v>
      </c>
      <c r="B46" s="79" t="s">
        <v>116</v>
      </c>
      <c r="C46" s="80" t="s">
        <v>77</v>
      </c>
      <c r="D46" s="128">
        <v>2710</v>
      </c>
      <c r="E46" s="129">
        <v>2620</v>
      </c>
      <c r="F46" s="275"/>
      <c r="G46" s="275"/>
      <c r="H46" s="246">
        <f>E46/D46</f>
        <v>0.96678966789667897</v>
      </c>
      <c r="I46" s="231" t="s">
        <v>156</v>
      </c>
      <c r="J46" s="234" t="s">
        <v>20</v>
      </c>
      <c r="K46" s="257">
        <f t="shared" si="8"/>
        <v>0.96678966789667897</v>
      </c>
      <c r="L46" s="225" t="s">
        <v>45</v>
      </c>
      <c r="M46" s="201">
        <v>1</v>
      </c>
      <c r="N46" s="218" t="s">
        <v>47</v>
      </c>
      <c r="O46" s="221">
        <f t="shared" si="6"/>
        <v>0.96678966789667897</v>
      </c>
      <c r="P46" s="242">
        <f t="shared" si="9"/>
        <v>2620</v>
      </c>
      <c r="Q46" s="81">
        <f>O46*Q$60</f>
        <v>0.94967703310118368</v>
      </c>
      <c r="R46" s="210">
        <f>P46*$Q$60</f>
        <v>2573.6247597042079</v>
      </c>
      <c r="S46" s="281">
        <f t="shared" si="10"/>
        <v>1</v>
      </c>
      <c r="T46" s="239">
        <f t="shared" si="11"/>
        <v>0.94967703310118368</v>
      </c>
      <c r="U46" s="123" t="s">
        <v>61</v>
      </c>
      <c r="V46" s="124" t="str">
        <f t="shared" si="0"/>
        <v>2015 VBT FNS RR 110 ALB</v>
      </c>
    </row>
    <row r="47" spans="1:22" ht="18" customHeight="1" x14ac:dyDescent="0.25">
      <c r="A47" s="74" t="s">
        <v>21</v>
      </c>
      <c r="B47" s="75" t="s">
        <v>34</v>
      </c>
      <c r="C47" s="76" t="s">
        <v>91</v>
      </c>
      <c r="D47" s="130">
        <v>2450</v>
      </c>
      <c r="E47" s="131">
        <v>2444</v>
      </c>
      <c r="F47" s="276"/>
      <c r="G47" s="276"/>
      <c r="H47" s="245">
        <f>E47/D47</f>
        <v>0.99755102040816324</v>
      </c>
      <c r="I47" s="232" t="s">
        <v>157</v>
      </c>
      <c r="J47" s="235" t="s">
        <v>22</v>
      </c>
      <c r="K47" s="258">
        <f>$H$48</f>
        <v>0.99613793103448278</v>
      </c>
      <c r="L47" s="226" t="s">
        <v>45</v>
      </c>
      <c r="M47" s="202">
        <v>0.7</v>
      </c>
      <c r="N47" s="214" t="s">
        <v>47</v>
      </c>
      <c r="O47" s="222">
        <f t="shared" si="6"/>
        <v>0.69729655172413796</v>
      </c>
      <c r="P47" s="194">
        <f>O47*(D47*(TRIM(RIGHT($C$48,3))/TRIM(RIGHT(C47,3))))</f>
        <v>2562.5648275862068</v>
      </c>
      <c r="Q47" s="77">
        <f>O47*Q$61</f>
        <v>0.68390480032271084</v>
      </c>
      <c r="R47" s="211">
        <f>P47*$Q$61</f>
        <v>2513.350141185962</v>
      </c>
      <c r="S47" s="282">
        <f>Q47/Q$48</f>
        <v>0.7</v>
      </c>
      <c r="T47" s="240">
        <f>Q47*(TRIM(RIGHT($C$48,3))/TRIM(RIGHT(C47,3)))</f>
        <v>1.0258572004840663</v>
      </c>
      <c r="U47" s="121" t="s">
        <v>61</v>
      </c>
      <c r="V47" s="122" t="str">
        <f t="shared" si="0"/>
        <v>2015 VBT FSM RR 100 ALB</v>
      </c>
    </row>
    <row r="48" spans="1:22" ht="18" customHeight="1" x14ac:dyDescent="0.25">
      <c r="A48" s="78" t="s">
        <v>22</v>
      </c>
      <c r="B48" s="79" t="s">
        <v>117</v>
      </c>
      <c r="C48" s="80" t="s">
        <v>92</v>
      </c>
      <c r="D48" s="128">
        <v>3625</v>
      </c>
      <c r="E48" s="129">
        <v>3611</v>
      </c>
      <c r="F48" s="275"/>
      <c r="G48" s="275"/>
      <c r="H48" s="246">
        <f t="shared" si="1"/>
        <v>0.99613793103448278</v>
      </c>
      <c r="I48" s="231" t="s">
        <v>157</v>
      </c>
      <c r="J48" s="234" t="s">
        <v>22</v>
      </c>
      <c r="K48" s="257">
        <f>$H$48</f>
        <v>0.99613793103448278</v>
      </c>
      <c r="L48" s="225" t="s">
        <v>45</v>
      </c>
      <c r="M48" s="201">
        <v>1</v>
      </c>
      <c r="N48" s="218" t="s">
        <v>47</v>
      </c>
      <c r="O48" s="221">
        <f t="shared" si="6"/>
        <v>0.99613793103448278</v>
      </c>
      <c r="P48" s="242">
        <f>O48*(D48*(TRIM(RIGHT($C$48,3))/TRIM(RIGHT(C48,3))))</f>
        <v>3611</v>
      </c>
      <c r="Q48" s="81">
        <f>O48*Q$61</f>
        <v>0.97700685760387262</v>
      </c>
      <c r="R48" s="210">
        <f>P48*$Q$61</f>
        <v>3541.649858814038</v>
      </c>
      <c r="S48" s="281">
        <f>Q48/Q$48</f>
        <v>1</v>
      </c>
      <c r="T48" s="239">
        <f>Q48*(TRIM(RIGHT($C$48,3))/TRIM(RIGHT(C48,3)))</f>
        <v>0.97700685760387262</v>
      </c>
      <c r="U48" s="123" t="s">
        <v>61</v>
      </c>
      <c r="V48" s="124" t="str">
        <f t="shared" si="0"/>
        <v>2015 VBT FSM RR 150 ALB</v>
      </c>
    </row>
    <row r="49" spans="1:22" s="11" customFormat="1" x14ac:dyDescent="0.25">
      <c r="A49" s="87" t="s">
        <v>3</v>
      </c>
      <c r="B49" s="88" t="s">
        <v>154</v>
      </c>
      <c r="C49" s="89"/>
      <c r="D49" s="90">
        <f>SUM(D37:D40)</f>
        <v>8995</v>
      </c>
      <c r="E49" s="119">
        <f>SUM(E37:E40)</f>
        <v>8842</v>
      </c>
      <c r="F49" s="277"/>
      <c r="G49" s="277"/>
      <c r="H49" s="249">
        <f>E49/D49</f>
        <v>0.98299055030572535</v>
      </c>
      <c r="I49" s="190"/>
      <c r="J49" s="197"/>
      <c r="K49" s="219"/>
      <c r="L49" s="219"/>
      <c r="M49" s="195"/>
      <c r="N49" s="223"/>
      <c r="O49" s="197"/>
      <c r="P49" s="237">
        <f>SUM(P37:P40)</f>
        <v>8500.9952067310314</v>
      </c>
      <c r="Q49" s="237"/>
      <c r="R49" s="212">
        <f>SUM(R37:R40)</f>
        <v>8842</v>
      </c>
      <c r="S49" s="206"/>
      <c r="T49" s="93"/>
      <c r="U49" s="93"/>
      <c r="V49" s="94"/>
    </row>
    <row r="50" spans="1:22" s="11" customFormat="1" x14ac:dyDescent="0.25">
      <c r="A50" s="87" t="s">
        <v>3</v>
      </c>
      <c r="B50" s="88" t="s">
        <v>155</v>
      </c>
      <c r="C50" s="89"/>
      <c r="D50" s="90">
        <f>SUM(D41:D42)</f>
        <v>6790</v>
      </c>
      <c r="E50" s="119">
        <f>SUM(E41:E42)</f>
        <v>6750</v>
      </c>
      <c r="F50" s="277"/>
      <c r="G50" s="277"/>
      <c r="H50" s="249">
        <f t="shared" ref="H50:H51" si="12">E50/D50</f>
        <v>0.99410898379970547</v>
      </c>
      <c r="I50" s="190"/>
      <c r="J50" s="197"/>
      <c r="K50" s="219"/>
      <c r="L50" s="219"/>
      <c r="M50" s="195"/>
      <c r="N50" s="223"/>
      <c r="O50" s="197"/>
      <c r="P50" s="237">
        <f>SUM(P41:P42)</f>
        <v>6593.75</v>
      </c>
      <c r="Q50" s="237"/>
      <c r="R50" s="119">
        <f>SUM(R41:R42)</f>
        <v>6750</v>
      </c>
      <c r="S50" s="88"/>
      <c r="T50" s="93"/>
      <c r="U50" s="93"/>
      <c r="V50" s="94"/>
    </row>
    <row r="51" spans="1:22" s="11" customFormat="1" x14ac:dyDescent="0.25">
      <c r="A51" s="87" t="s">
        <v>3</v>
      </c>
      <c r="B51" s="88" t="s">
        <v>156</v>
      </c>
      <c r="C51" s="89"/>
      <c r="D51" s="90">
        <f>SUM(D43:D46)</f>
        <v>7385</v>
      </c>
      <c r="E51" s="119">
        <f>SUM(E43:E46)</f>
        <v>7050</v>
      </c>
      <c r="F51" s="277"/>
      <c r="G51" s="277"/>
      <c r="H51" s="249">
        <f t="shared" si="12"/>
        <v>0.95463777928232907</v>
      </c>
      <c r="I51" s="190"/>
      <c r="J51" s="197"/>
      <c r="K51" s="219"/>
      <c r="L51" s="187"/>
      <c r="M51" s="92"/>
      <c r="N51" s="223"/>
      <c r="O51" s="197"/>
      <c r="P51" s="237">
        <f>SUM(P43:P46)</f>
        <v>7177.0369516195169</v>
      </c>
      <c r="Q51" s="237"/>
      <c r="R51" s="119">
        <f>SUM(R43:R46)</f>
        <v>7049.9999999999982</v>
      </c>
      <c r="S51" s="88"/>
      <c r="T51" s="93"/>
      <c r="U51" s="93"/>
      <c r="V51" s="94"/>
    </row>
    <row r="52" spans="1:22" s="11" customFormat="1" x14ac:dyDescent="0.25">
      <c r="A52" s="87" t="s">
        <v>3</v>
      </c>
      <c r="B52" s="88" t="s">
        <v>157</v>
      </c>
      <c r="C52" s="89"/>
      <c r="D52" s="90">
        <f>SUM(D47:D48)</f>
        <v>6075</v>
      </c>
      <c r="E52" s="119">
        <f>SUM(E47:E48)</f>
        <v>6055</v>
      </c>
      <c r="F52" s="277"/>
      <c r="G52" s="277"/>
      <c r="H52" s="249">
        <f>E52/D52</f>
        <v>0.99670781893004112</v>
      </c>
      <c r="I52" s="190"/>
      <c r="J52" s="197"/>
      <c r="K52" s="219"/>
      <c r="L52" s="187"/>
      <c r="M52" s="92"/>
      <c r="N52" s="223"/>
      <c r="O52" s="197"/>
      <c r="P52" s="237">
        <f>SUM(P47:P48)</f>
        <v>6173.5648275862068</v>
      </c>
      <c r="Q52" s="237"/>
      <c r="R52" s="119">
        <f>SUM(R47:R48)</f>
        <v>6055</v>
      </c>
      <c r="S52" s="88"/>
      <c r="T52" s="93"/>
      <c r="U52" s="93"/>
      <c r="V52" s="94"/>
    </row>
    <row r="53" spans="1:22" ht="20.100000000000001" customHeight="1" x14ac:dyDescent="0.25">
      <c r="A53" s="22"/>
      <c r="B53" s="23"/>
      <c r="C53" s="23"/>
      <c r="D53" s="120" t="s">
        <v>172</v>
      </c>
      <c r="E53" s="135">
        <v>1</v>
      </c>
      <c r="F53" s="135"/>
      <c r="G53" s="135"/>
      <c r="H53" s="25"/>
      <c r="I53" s="25"/>
      <c r="J53" s="25"/>
      <c r="K53" s="25"/>
      <c r="L53" s="25"/>
      <c r="M53" s="25"/>
      <c r="N53" s="25"/>
      <c r="O53" s="25"/>
      <c r="P53" s="24"/>
      <c r="Q53" s="25"/>
      <c r="R53" s="25"/>
      <c r="S53" s="24"/>
      <c r="T53" s="24"/>
      <c r="U53" s="24"/>
      <c r="V53" s="26"/>
    </row>
    <row r="54" spans="1:22" ht="20.100000000000001" customHeight="1" x14ac:dyDescent="0.25">
      <c r="A54" s="160"/>
      <c r="D54" s="158" t="s">
        <v>171</v>
      </c>
      <c r="E54" s="135">
        <v>1</v>
      </c>
      <c r="F54" s="278"/>
      <c r="G54" s="278"/>
      <c r="V54" s="161"/>
    </row>
    <row r="55" spans="1:22" ht="20.100000000000001" customHeight="1" x14ac:dyDescent="0.25">
      <c r="A55" s="160"/>
      <c r="D55" s="158" t="s">
        <v>173</v>
      </c>
      <c r="E55" s="135">
        <v>1</v>
      </c>
      <c r="F55" s="278"/>
      <c r="G55" s="278"/>
      <c r="V55" s="161"/>
    </row>
    <row r="56" spans="1:22" ht="20.100000000000001" customHeight="1" x14ac:dyDescent="0.25">
      <c r="A56" s="160"/>
      <c r="D56" s="158" t="s">
        <v>174</v>
      </c>
      <c r="E56" s="135">
        <v>1</v>
      </c>
      <c r="F56" s="278"/>
      <c r="G56" s="278"/>
      <c r="V56" s="161"/>
    </row>
    <row r="57" spans="1:22" ht="20.100000000000001" customHeight="1" x14ac:dyDescent="0.25">
      <c r="A57" s="160"/>
      <c r="D57" s="158"/>
      <c r="E57" s="166"/>
      <c r="F57" s="166"/>
      <c r="G57" s="166"/>
      <c r="V57" s="161"/>
    </row>
    <row r="58" spans="1:22" ht="20.100000000000001" customHeight="1" x14ac:dyDescent="0.25">
      <c r="A58" s="160"/>
      <c r="D58" s="158"/>
      <c r="E58" s="166"/>
      <c r="F58" s="166"/>
      <c r="G58" s="166"/>
      <c r="P58" s="158" t="str">
        <f>"MNS Normalization Ratio (NR) = Actual Aggregate Claim Amount / RB Expected Aggregate Claim Amount = "&amp;ROUND(E49,0)&amp;" / "&amp;ROUND(P49,0)&amp;":"</f>
        <v>MNS Normalization Ratio (NR) = Actual Aggregate Claim Amount / RB Expected Aggregate Claim Amount = 8842 / 8501:</v>
      </c>
      <c r="Q58" s="3">
        <f>E49/P49</f>
        <v>1.0401135143564089</v>
      </c>
      <c r="R58" s="158"/>
      <c r="V58" s="161"/>
    </row>
    <row r="59" spans="1:22" ht="20.100000000000001" customHeight="1" x14ac:dyDescent="0.25">
      <c r="A59" s="160"/>
      <c r="D59" s="158"/>
      <c r="E59" s="166"/>
      <c r="F59" s="166"/>
      <c r="G59" s="166"/>
      <c r="P59" s="158" t="str">
        <f>"MSM Normalization Ratio (NR) = Actual Aggregate Claim Amount / RB Expected Aggregate Claim Amount = "&amp;ROUND(E50,0)&amp;" / "&amp;ROUND(P50,0)&amp;":"</f>
        <v>MSM Normalization Ratio (NR) = Actual Aggregate Claim Amount / RB Expected Aggregate Claim Amount = 6750 / 6594:</v>
      </c>
      <c r="Q59" s="3">
        <f>E50/P50</f>
        <v>1.0236966824644549</v>
      </c>
      <c r="R59" s="158"/>
      <c r="V59" s="161"/>
    </row>
    <row r="60" spans="1:22" ht="20.100000000000001" customHeight="1" x14ac:dyDescent="0.25">
      <c r="A60" s="160"/>
      <c r="D60" s="158"/>
      <c r="E60" s="166"/>
      <c r="F60" s="166"/>
      <c r="G60" s="166"/>
      <c r="P60" s="158" t="str">
        <f>"FNS Normalization Ratio (NR) = Actual Aggregate Claim Amount / RB Expected Aggregate Claim Amount = "&amp;ROUND(E51,0)&amp;" / "&amp;ROUND(P51,0)&amp;":"</f>
        <v>FNS Normalization Ratio (NR) = Actual Aggregate Claim Amount / RB Expected Aggregate Claim Amount = 7050 / 7177:</v>
      </c>
      <c r="Q60" s="3">
        <f>E51/P51</f>
        <v>0.98229952660465947</v>
      </c>
      <c r="R60" s="158"/>
      <c r="V60" s="161"/>
    </row>
    <row r="61" spans="1:22" ht="20.100000000000001" customHeight="1" x14ac:dyDescent="0.25">
      <c r="A61" s="27"/>
      <c r="B61" s="28"/>
      <c r="C61" s="28"/>
      <c r="D61" s="28"/>
      <c r="E61" s="28"/>
      <c r="F61" s="28"/>
      <c r="G61" s="28"/>
      <c r="H61" s="28"/>
      <c r="I61" s="28"/>
      <c r="J61" s="28"/>
      <c r="K61" s="28"/>
      <c r="L61" s="28"/>
      <c r="M61" s="28"/>
      <c r="N61" s="28"/>
      <c r="O61" s="28"/>
      <c r="P61" s="29" t="str">
        <f>"FSM Normalization Ratio (NR) = Actual Aggregate Claim Amount / RB Expected Aggregate Claim Amount = "&amp;ROUND(E52,0)&amp;" / "&amp;ROUND(P52,0)&amp;":"</f>
        <v>FSM Normalization Ratio (NR) = Actual Aggregate Claim Amount / RB Expected Aggregate Claim Amount = 6055 / 6174:</v>
      </c>
      <c r="Q61" s="32">
        <f>E52/P52</f>
        <v>0.98079475458710552</v>
      </c>
      <c r="R61" s="29"/>
      <c r="S61" s="30"/>
      <c r="T61" s="30"/>
      <c r="U61" s="30"/>
      <c r="V61" s="34"/>
    </row>
  </sheetData>
  <mergeCells count="1">
    <mergeCell ref="T35:V35"/>
  </mergeCells>
  <printOptions horizontalCentered="1"/>
  <pageMargins left="0" right="0" top="0.5" bottom="0" header="0.3" footer="0.3"/>
  <pageSetup scale="4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61"/>
  <sheetViews>
    <sheetView showGridLines="0" topLeftCell="A8" zoomScale="90" zoomScaleNormal="90" workbookViewId="0">
      <selection activeCell="T36" sqref="T36"/>
    </sheetView>
  </sheetViews>
  <sheetFormatPr defaultRowHeight="15" x14ac:dyDescent="0.25"/>
  <cols>
    <col min="1" max="1" width="11.7109375" customWidth="1"/>
    <col min="2" max="2" width="19.85546875" style="1" customWidth="1"/>
    <col min="3" max="3" width="12.85546875" style="1" customWidth="1"/>
    <col min="4" max="4" width="17.42578125" style="1" customWidth="1"/>
    <col min="5" max="5" width="9.7109375" customWidth="1"/>
    <col min="6" max="6" width="7.140625" style="4" bestFit="1" customWidth="1"/>
    <col min="7" max="9" width="12.140625" style="4" customWidth="1"/>
    <col min="10" max="10" width="2.140625" style="4" customWidth="1"/>
    <col min="11" max="11" width="13.28515625" style="4" customWidth="1"/>
    <col min="12" max="12" width="2.85546875" style="4" customWidth="1"/>
    <col min="13" max="13" width="13.28515625" style="4" customWidth="1"/>
    <col min="14" max="14" width="14.140625" customWidth="1"/>
    <col min="15" max="15" width="14.7109375" style="4" customWidth="1"/>
    <col min="16" max="16" width="16.5703125" style="4" bestFit="1" customWidth="1"/>
    <col min="17" max="17" width="13.7109375" customWidth="1"/>
    <col min="18" max="18" width="7" customWidth="1"/>
    <col min="19" max="19" width="3.28515625" customWidth="1"/>
    <col min="20" max="20" width="24.7109375" customWidth="1"/>
  </cols>
  <sheetData>
    <row r="1" spans="1:20" ht="18" x14ac:dyDescent="0.35">
      <c r="A1" s="118" t="s">
        <v>187</v>
      </c>
      <c r="F1" s="6"/>
      <c r="T1" s="264">
        <f>'Relativistic Method - Example 1'!$K$1</f>
        <v>43651</v>
      </c>
    </row>
    <row r="2" spans="1:20" ht="14.45" x14ac:dyDescent="0.3">
      <c r="A2" s="3"/>
      <c r="F2" s="6"/>
    </row>
    <row r="3" spans="1:20" ht="20.100000000000001" customHeight="1" x14ac:dyDescent="0.3">
      <c r="A3" s="13"/>
      <c r="F3" s="6"/>
    </row>
    <row r="4" spans="1:20" ht="20.100000000000001" customHeight="1" x14ac:dyDescent="0.3">
      <c r="A4" s="13"/>
      <c r="F4" s="6"/>
    </row>
    <row r="5" spans="1:20" ht="20.100000000000001" customHeight="1" x14ac:dyDescent="0.3">
      <c r="A5" s="13"/>
      <c r="F5" s="6"/>
    </row>
    <row r="6" spans="1:20" ht="20.100000000000001" customHeight="1" x14ac:dyDescent="0.3">
      <c r="A6" s="13"/>
      <c r="F6" s="6"/>
    </row>
    <row r="7" spans="1:20" ht="20.100000000000001" customHeight="1" x14ac:dyDescent="0.3">
      <c r="A7" s="13"/>
      <c r="F7" s="6"/>
    </row>
    <row r="8" spans="1:20" ht="20.100000000000001" customHeight="1" x14ac:dyDescent="0.3">
      <c r="A8" s="13"/>
      <c r="F8" s="6"/>
    </row>
    <row r="9" spans="1:20" ht="20.100000000000001" customHeight="1" x14ac:dyDescent="0.3">
      <c r="A9" s="13"/>
      <c r="F9" s="6"/>
    </row>
    <row r="10" spans="1:20" ht="20.100000000000001" customHeight="1" x14ac:dyDescent="0.3">
      <c r="A10" s="13"/>
      <c r="F10" s="6"/>
    </row>
    <row r="11" spans="1:20" ht="20.100000000000001" customHeight="1" x14ac:dyDescent="0.3">
      <c r="A11" s="13"/>
      <c r="F11" s="6"/>
    </row>
    <row r="12" spans="1:20" ht="20.100000000000001" customHeight="1" x14ac:dyDescent="0.3">
      <c r="A12" s="13"/>
      <c r="F12" s="6"/>
    </row>
    <row r="13" spans="1:20" ht="20.100000000000001" customHeight="1" x14ac:dyDescent="0.3">
      <c r="A13" s="13"/>
      <c r="F13" s="6"/>
    </row>
    <row r="14" spans="1:20" ht="20.100000000000001" customHeight="1" x14ac:dyDescent="0.3">
      <c r="A14" s="13"/>
      <c r="F14" s="6"/>
    </row>
    <row r="15" spans="1:20" ht="20.100000000000001" customHeight="1" x14ac:dyDescent="0.3">
      <c r="A15" s="13"/>
      <c r="F15" s="6"/>
    </row>
    <row r="16" spans="1:20" ht="20.100000000000001" customHeight="1" x14ac:dyDescent="0.3">
      <c r="A16" s="13"/>
      <c r="F16" s="6"/>
    </row>
    <row r="17" spans="1:20" ht="20.100000000000001" customHeight="1" x14ac:dyDescent="0.3">
      <c r="A17" s="13"/>
      <c r="F17" s="6"/>
    </row>
    <row r="18" spans="1:20" ht="20.100000000000001" customHeight="1" x14ac:dyDescent="0.3">
      <c r="A18" s="13"/>
      <c r="F18" s="6"/>
    </row>
    <row r="19" spans="1:20" ht="20.100000000000001" customHeight="1" x14ac:dyDescent="0.3">
      <c r="A19" s="13"/>
      <c r="F19" s="6"/>
    </row>
    <row r="20" spans="1:20" ht="20.100000000000001" customHeight="1" x14ac:dyDescent="0.3">
      <c r="A20" s="13"/>
      <c r="F20" s="6"/>
    </row>
    <row r="21" spans="1:20" ht="20.100000000000001" customHeight="1" x14ac:dyDescent="0.3">
      <c r="A21" s="13"/>
      <c r="F21" s="6"/>
    </row>
    <row r="22" spans="1:20" ht="20.100000000000001" customHeight="1" x14ac:dyDescent="0.3">
      <c r="A22" s="13"/>
      <c r="F22" s="6"/>
    </row>
    <row r="23" spans="1:20" ht="20.100000000000001" customHeight="1" x14ac:dyDescent="0.3">
      <c r="A23" s="13"/>
      <c r="F23" s="6"/>
    </row>
    <row r="24" spans="1:20" ht="20.100000000000001" customHeight="1" x14ac:dyDescent="0.3">
      <c r="A24" s="13"/>
      <c r="F24" s="6"/>
    </row>
    <row r="25" spans="1:20" ht="20.100000000000001" customHeight="1" x14ac:dyDescent="0.3">
      <c r="A25" s="13"/>
      <c r="F25" s="6"/>
    </row>
    <row r="26" spans="1:20" ht="20.100000000000001" customHeight="1" x14ac:dyDescent="0.3">
      <c r="A26" s="13"/>
      <c r="F26" s="6"/>
    </row>
    <row r="27" spans="1:20" ht="20.100000000000001" customHeight="1" x14ac:dyDescent="0.3">
      <c r="A27" s="13"/>
      <c r="F27" s="6"/>
    </row>
    <row r="28" spans="1:20" ht="20.100000000000001" customHeight="1" x14ac:dyDescent="0.3">
      <c r="A28" s="13"/>
      <c r="F28" s="6"/>
    </row>
    <row r="29" spans="1:20" ht="20.100000000000001" customHeight="1" x14ac:dyDescent="0.25">
      <c r="A29" s="13"/>
      <c r="F29" s="6"/>
    </row>
    <row r="30" spans="1:20" ht="20.100000000000001" customHeight="1" x14ac:dyDescent="0.25">
      <c r="A30" s="13"/>
      <c r="F30" s="6"/>
    </row>
    <row r="31" spans="1:20" x14ac:dyDescent="0.25">
      <c r="A31" s="95" t="s">
        <v>81</v>
      </c>
      <c r="B31" s="68"/>
      <c r="C31" s="69" t="s">
        <v>101</v>
      </c>
      <c r="D31" s="23"/>
      <c r="E31" s="24"/>
      <c r="F31" s="70"/>
      <c r="G31" s="71" t="s">
        <v>94</v>
      </c>
      <c r="H31" s="196" t="s">
        <v>158</v>
      </c>
      <c r="I31" s="69" t="s">
        <v>161</v>
      </c>
      <c r="J31" s="69"/>
      <c r="K31" s="185"/>
      <c r="L31" s="185"/>
      <c r="M31" s="196"/>
      <c r="N31" s="67" t="s">
        <v>97</v>
      </c>
      <c r="O31" s="25"/>
      <c r="P31" s="25"/>
      <c r="Q31" s="72"/>
      <c r="R31" s="67" t="s">
        <v>56</v>
      </c>
      <c r="S31" s="67"/>
      <c r="T31" s="72"/>
    </row>
    <row r="32" spans="1:20" x14ac:dyDescent="0.25">
      <c r="A32" s="116" t="s">
        <v>80</v>
      </c>
      <c r="B32" s="8"/>
      <c r="C32" s="5" t="s">
        <v>102</v>
      </c>
      <c r="F32" s="9"/>
      <c r="G32" s="189" t="s">
        <v>93</v>
      </c>
      <c r="H32" s="188" t="s">
        <v>164</v>
      </c>
      <c r="I32" s="5" t="s">
        <v>162</v>
      </c>
      <c r="J32" s="186"/>
      <c r="K32" s="186"/>
      <c r="L32" s="186"/>
      <c r="M32" s="188"/>
      <c r="N32" s="3" t="s">
        <v>98</v>
      </c>
      <c r="Q32" s="10"/>
      <c r="R32" s="3" t="s">
        <v>55</v>
      </c>
      <c r="T32" s="10"/>
    </row>
    <row r="33" spans="1:20" x14ac:dyDescent="0.25">
      <c r="A33" s="116"/>
      <c r="B33" s="8"/>
      <c r="C33" s="5" t="s">
        <v>103</v>
      </c>
      <c r="F33" s="9"/>
      <c r="G33" s="12"/>
      <c r="H33" s="9"/>
      <c r="K33" s="186"/>
      <c r="L33" s="186"/>
      <c r="M33" s="188"/>
      <c r="N33" s="3" t="s">
        <v>66</v>
      </c>
      <c r="Q33" s="10"/>
      <c r="R33" s="3"/>
      <c r="T33" s="10"/>
    </row>
    <row r="34" spans="1:20" x14ac:dyDescent="0.25">
      <c r="A34" s="37" t="s">
        <v>6</v>
      </c>
      <c r="B34" s="51" t="s">
        <v>7</v>
      </c>
      <c r="C34" s="42" t="s">
        <v>8</v>
      </c>
      <c r="D34" s="37" t="s">
        <v>9</v>
      </c>
      <c r="E34" s="37" t="s">
        <v>10</v>
      </c>
      <c r="F34" s="51" t="s">
        <v>11</v>
      </c>
      <c r="G34" s="227" t="s">
        <v>12</v>
      </c>
      <c r="H34" s="59" t="s">
        <v>13</v>
      </c>
      <c r="I34" s="215" t="s">
        <v>14</v>
      </c>
      <c r="J34" s="215"/>
      <c r="K34" s="42" t="s">
        <v>25</v>
      </c>
      <c r="L34" s="207"/>
      <c r="M34" s="59" t="s">
        <v>26</v>
      </c>
      <c r="N34" s="42" t="s">
        <v>35</v>
      </c>
      <c r="O34" s="37" t="s">
        <v>36</v>
      </c>
      <c r="P34" s="207" t="s">
        <v>37</v>
      </c>
      <c r="Q34" s="59" t="s">
        <v>168</v>
      </c>
      <c r="R34" s="103"/>
      <c r="S34" s="103"/>
      <c r="T34" s="111" t="s">
        <v>169</v>
      </c>
    </row>
    <row r="35" spans="1:20" ht="77.25" customHeight="1" x14ac:dyDescent="0.35">
      <c r="A35" s="35"/>
      <c r="B35" s="52"/>
      <c r="C35" s="86" t="s">
        <v>107</v>
      </c>
      <c r="D35" s="36" t="s">
        <v>189</v>
      </c>
      <c r="E35" s="35"/>
      <c r="F35" s="241" t="s">
        <v>176</v>
      </c>
      <c r="G35" s="228" t="s">
        <v>104</v>
      </c>
      <c r="H35" s="191" t="s">
        <v>165</v>
      </c>
      <c r="I35" s="216" t="s">
        <v>166</v>
      </c>
      <c r="J35" s="216"/>
      <c r="K35" s="86" t="s">
        <v>183</v>
      </c>
      <c r="L35" s="214"/>
      <c r="M35" s="191" t="s">
        <v>195</v>
      </c>
      <c r="N35" s="56" t="s">
        <v>182</v>
      </c>
      <c r="O35" s="36" t="s">
        <v>58</v>
      </c>
      <c r="P35" s="236" t="s">
        <v>170</v>
      </c>
      <c r="Q35" s="60"/>
      <c r="R35" s="388" t="s">
        <v>188</v>
      </c>
      <c r="S35" s="389"/>
      <c r="T35" s="390"/>
    </row>
    <row r="36" spans="1:20" s="7" customFormat="1" ht="58.5" customHeight="1" x14ac:dyDescent="0.25">
      <c r="A36" s="15" t="s">
        <v>43</v>
      </c>
      <c r="B36" s="53" t="s">
        <v>42</v>
      </c>
      <c r="C36" s="48" t="s">
        <v>90</v>
      </c>
      <c r="D36" s="16" t="s">
        <v>217</v>
      </c>
      <c r="E36" s="16" t="s">
        <v>24</v>
      </c>
      <c r="F36" s="55" t="s">
        <v>23</v>
      </c>
      <c r="G36" s="229" t="s">
        <v>96</v>
      </c>
      <c r="H36" s="198" t="s">
        <v>163</v>
      </c>
      <c r="I36" s="213" t="s">
        <v>159</v>
      </c>
      <c r="J36" s="213" t="s">
        <v>45</v>
      </c>
      <c r="K36" s="213" t="s">
        <v>160</v>
      </c>
      <c r="L36" s="213" t="s">
        <v>47</v>
      </c>
      <c r="M36" s="198" t="s">
        <v>194</v>
      </c>
      <c r="N36" s="45" t="s">
        <v>106</v>
      </c>
      <c r="O36" s="16" t="s">
        <v>193</v>
      </c>
      <c r="P36" s="208" t="s">
        <v>54</v>
      </c>
      <c r="Q36" s="55" t="s">
        <v>167</v>
      </c>
      <c r="R36" s="109" t="s">
        <v>60</v>
      </c>
      <c r="S36" s="109"/>
      <c r="T36" s="110"/>
    </row>
    <row r="37" spans="1:20" ht="18" customHeight="1" x14ac:dyDescent="0.25">
      <c r="A37" s="17" t="s">
        <v>0</v>
      </c>
      <c r="B37" s="54" t="s">
        <v>27</v>
      </c>
      <c r="C37" s="49" t="s">
        <v>68</v>
      </c>
      <c r="D37" s="125">
        <v>1000</v>
      </c>
      <c r="E37" s="126">
        <v>952</v>
      </c>
      <c r="F37" s="247">
        <f>E37/D37</f>
        <v>0.95199999999999996</v>
      </c>
      <c r="G37" s="230" t="s">
        <v>154</v>
      </c>
      <c r="H37" s="233" t="s">
        <v>5</v>
      </c>
      <c r="I37" s="256">
        <f>$F$40</f>
        <v>0.96735395189003437</v>
      </c>
      <c r="J37" s="224" t="s">
        <v>45</v>
      </c>
      <c r="K37" s="200">
        <f>F37/$F$40*(TRIM(RIGHT(C37,3))/TRIM(RIGHT($C$40,3)))</f>
        <v>0.62626320038753425</v>
      </c>
      <c r="L37" s="217" t="s">
        <v>47</v>
      </c>
      <c r="M37" s="220">
        <f>I37*K37</f>
        <v>0.60581818181818181</v>
      </c>
      <c r="N37" s="192">
        <f>D37*M37/(TRIM(RIGHT(C37,3))/TRIM(RIGHT($C$40,3)))</f>
        <v>951.99999999999989</v>
      </c>
      <c r="O37" s="18">
        <f t="shared" ref="O37:P40" si="0">M37*$Q$58</f>
        <v>0.60581818181818181</v>
      </c>
      <c r="P37" s="209">
        <f>N37*$Q$58</f>
        <v>951.99999999999989</v>
      </c>
      <c r="Q37" s="203">
        <f>O37/O40</f>
        <v>0.62626320038753436</v>
      </c>
      <c r="R37" s="238">
        <f>O37/((TRIM(RIGHT(C37,3))/TRIM(RIGHT($C$40,3))))</f>
        <v>0.95199999999999996</v>
      </c>
      <c r="S37" s="107" t="s">
        <v>61</v>
      </c>
      <c r="T37" s="108" t="str">
        <f t="shared" ref="T37:T48" si="1">"2015 VBT "&amp;C37&amp;" ALB"</f>
        <v>2015 VBT MNS RR 70 ALB</v>
      </c>
    </row>
    <row r="38" spans="1:20" ht="18" customHeight="1" x14ac:dyDescent="0.25">
      <c r="A38" s="17" t="s">
        <v>1</v>
      </c>
      <c r="B38" s="54" t="s">
        <v>28</v>
      </c>
      <c r="C38" s="49" t="s">
        <v>69</v>
      </c>
      <c r="D38" s="125">
        <v>2420</v>
      </c>
      <c r="E38" s="126">
        <v>2475</v>
      </c>
      <c r="F38" s="247">
        <f t="shared" ref="F38:F48" si="2">E38/D38</f>
        <v>1.0227272727272727</v>
      </c>
      <c r="G38" s="230" t="s">
        <v>154</v>
      </c>
      <c r="H38" s="233" t="s">
        <v>5</v>
      </c>
      <c r="I38" s="256">
        <f t="shared" ref="I38:I40" si="3">$F$40</f>
        <v>0.96735395189003437</v>
      </c>
      <c r="J38" s="224" t="s">
        <v>45</v>
      </c>
      <c r="K38" s="200">
        <f t="shared" ref="K38:K40" si="4">F38/$F$40*(TRIM(RIGHT(C38,3))/TRIM(RIGHT($C$40,3)))</f>
        <v>0.768903307253057</v>
      </c>
      <c r="L38" s="217" t="s">
        <v>47</v>
      </c>
      <c r="M38" s="220">
        <f>I38*K38</f>
        <v>0.74380165289256206</v>
      </c>
      <c r="N38" s="192">
        <f>D38*M38/(TRIM(RIGHT(C38,3))/TRIM(RIGHT($C$40,3)))</f>
        <v>2475.0000000000005</v>
      </c>
      <c r="O38" s="18">
        <f>M38*$Q$58</f>
        <v>0.74380165289256206</v>
      </c>
      <c r="P38" s="209">
        <f>N38*$Q$58</f>
        <v>2475.0000000000005</v>
      </c>
      <c r="Q38" s="203">
        <f>O38/O40</f>
        <v>0.768903307253057</v>
      </c>
      <c r="R38" s="238">
        <f t="shared" ref="R38:R40" si="5">O38/((TRIM(RIGHT(C38,3))/TRIM(RIGHT($C$40,3))))</f>
        <v>1.0227272727272727</v>
      </c>
      <c r="S38" s="107" t="s">
        <v>61</v>
      </c>
      <c r="T38" s="108" t="str">
        <f t="shared" si="1"/>
        <v>2015 VBT MNS RR 80 ALB</v>
      </c>
    </row>
    <row r="39" spans="1:20" ht="18" customHeight="1" x14ac:dyDescent="0.25">
      <c r="A39" s="17" t="s">
        <v>4</v>
      </c>
      <c r="B39" s="54" t="s">
        <v>29</v>
      </c>
      <c r="C39" s="49" t="s">
        <v>70</v>
      </c>
      <c r="D39" s="125">
        <v>2665</v>
      </c>
      <c r="E39" s="126">
        <v>2600</v>
      </c>
      <c r="F39" s="247">
        <f t="shared" si="2"/>
        <v>0.97560975609756095</v>
      </c>
      <c r="G39" s="230" t="s">
        <v>154</v>
      </c>
      <c r="H39" s="233" t="s">
        <v>5</v>
      </c>
      <c r="I39" s="256">
        <f t="shared" si="3"/>
        <v>0.96735395189003437</v>
      </c>
      <c r="J39" s="224" t="s">
        <v>45</v>
      </c>
      <c r="K39" s="200">
        <f>F39/$F$40*(TRIM(RIGHT(C39,3))/TRIM(RIGHT($C$40,3)))</f>
        <v>0.82516452485693925</v>
      </c>
      <c r="L39" s="217" t="s">
        <v>47</v>
      </c>
      <c r="M39" s="220">
        <f>I39*K39</f>
        <v>0.79822616407982272</v>
      </c>
      <c r="N39" s="192">
        <f>D39*M39/(TRIM(RIGHT(C39,3))/TRIM(RIGHT($C$40,3)))</f>
        <v>2600</v>
      </c>
      <c r="O39" s="18">
        <f>M39*$Q$58</f>
        <v>0.79822616407982272</v>
      </c>
      <c r="P39" s="209">
        <f>N39*$Q$58</f>
        <v>2600</v>
      </c>
      <c r="Q39" s="203">
        <f>O39/O40</f>
        <v>0.82516452485693925</v>
      </c>
      <c r="R39" s="238">
        <f>O39/((TRIM(RIGHT(C39,3))/TRIM(RIGHT($C$40,3))))</f>
        <v>0.97560975609756106</v>
      </c>
      <c r="S39" s="107" t="s">
        <v>61</v>
      </c>
      <c r="T39" s="108" t="str">
        <f t="shared" si="1"/>
        <v>2015 VBT MNS RR 90 ALB</v>
      </c>
    </row>
    <row r="40" spans="1:20" ht="18" customHeight="1" x14ac:dyDescent="0.25">
      <c r="A40" s="78" t="s">
        <v>5</v>
      </c>
      <c r="B40" s="79" t="s">
        <v>114</v>
      </c>
      <c r="C40" s="80" t="s">
        <v>71</v>
      </c>
      <c r="D40" s="128">
        <v>2910</v>
      </c>
      <c r="E40" s="129">
        <v>2815</v>
      </c>
      <c r="F40" s="246">
        <f t="shared" si="2"/>
        <v>0.96735395189003437</v>
      </c>
      <c r="G40" s="231" t="s">
        <v>154</v>
      </c>
      <c r="H40" s="234" t="s">
        <v>5</v>
      </c>
      <c r="I40" s="257">
        <f t="shared" si="3"/>
        <v>0.96735395189003437</v>
      </c>
      <c r="J40" s="225" t="s">
        <v>45</v>
      </c>
      <c r="K40" s="243">
        <f t="shared" si="4"/>
        <v>1</v>
      </c>
      <c r="L40" s="218" t="s">
        <v>47</v>
      </c>
      <c r="M40" s="221">
        <f t="shared" ref="M40:M48" si="6">I40*K40</f>
        <v>0.96735395189003437</v>
      </c>
      <c r="N40" s="193">
        <f t="shared" ref="N40" si="7">D40*M40/(TRIM(RIGHT(C40,3))/TRIM(RIGHT($C$40,3)))</f>
        <v>2815</v>
      </c>
      <c r="O40" s="81">
        <f t="shared" si="0"/>
        <v>0.96735395189003437</v>
      </c>
      <c r="P40" s="210">
        <f t="shared" si="0"/>
        <v>2815</v>
      </c>
      <c r="Q40" s="204">
        <f>O40/O40</f>
        <v>1</v>
      </c>
      <c r="R40" s="239">
        <f t="shared" si="5"/>
        <v>0.96735395189003437</v>
      </c>
      <c r="S40" s="123" t="s">
        <v>61</v>
      </c>
      <c r="T40" s="124" t="str">
        <f t="shared" si="1"/>
        <v>2015 VBT MNS RR 110 ALB</v>
      </c>
    </row>
    <row r="41" spans="1:20" ht="18" customHeight="1" x14ac:dyDescent="0.25">
      <c r="A41" s="74" t="s">
        <v>15</v>
      </c>
      <c r="B41" s="75" t="s">
        <v>30</v>
      </c>
      <c r="C41" s="76" t="s">
        <v>89</v>
      </c>
      <c r="D41" s="130">
        <v>2625</v>
      </c>
      <c r="E41" s="131">
        <v>2500</v>
      </c>
      <c r="F41" s="245">
        <f>E41/D41</f>
        <v>0.95238095238095233</v>
      </c>
      <c r="G41" s="232" t="s">
        <v>155</v>
      </c>
      <c r="H41" s="235" t="s">
        <v>16</v>
      </c>
      <c r="I41" s="258">
        <f>$F$42</f>
        <v>1.0204081632653061</v>
      </c>
      <c r="J41" s="226" t="s">
        <v>45</v>
      </c>
      <c r="K41" s="244">
        <f>F41/$F$42*(TRIM(RIGHT(C41,3))/TRIM(RIGHT($C$42,3)))</f>
        <v>0.74666666666666659</v>
      </c>
      <c r="L41" s="214" t="s">
        <v>47</v>
      </c>
      <c r="M41" s="222">
        <f t="shared" si="6"/>
        <v>0.76190476190476186</v>
      </c>
      <c r="N41" s="194">
        <f>D41*M41/(TRIM(RIGHT(C41,3))/TRIM(RIGHT($C$42,3)))</f>
        <v>2500</v>
      </c>
      <c r="O41" s="77">
        <f>M41*$Q$59</f>
        <v>0.76190476190476186</v>
      </c>
      <c r="P41" s="211">
        <f>N41*$Q$59</f>
        <v>2500</v>
      </c>
      <c r="Q41" s="205">
        <f>O41/O42</f>
        <v>0.74666666666666659</v>
      </c>
      <c r="R41" s="240">
        <f>O41/((TRIM(RIGHT(C41,3))/TRIM(RIGHT($C$42,3))))</f>
        <v>0.95238095238095233</v>
      </c>
      <c r="S41" s="121" t="s">
        <v>61</v>
      </c>
      <c r="T41" s="122" t="str">
        <f t="shared" si="1"/>
        <v>2015 VBT MSM RR 100 ALB</v>
      </c>
    </row>
    <row r="42" spans="1:20" ht="18" customHeight="1" x14ac:dyDescent="0.25">
      <c r="A42" s="78" t="s">
        <v>16</v>
      </c>
      <c r="B42" s="79" t="s">
        <v>115</v>
      </c>
      <c r="C42" s="80" t="s">
        <v>73</v>
      </c>
      <c r="D42" s="128">
        <v>4165</v>
      </c>
      <c r="E42" s="129">
        <v>4250</v>
      </c>
      <c r="F42" s="246">
        <f t="shared" si="2"/>
        <v>1.0204081632653061</v>
      </c>
      <c r="G42" s="231" t="s">
        <v>155</v>
      </c>
      <c r="H42" s="234" t="s">
        <v>16</v>
      </c>
      <c r="I42" s="257">
        <f>$F$42</f>
        <v>1.0204081632653061</v>
      </c>
      <c r="J42" s="225" t="s">
        <v>45</v>
      </c>
      <c r="K42" s="201">
        <f>F42/$F$42*(TRIM(RIGHT(C42,3))/TRIM(RIGHT($C$42,3)))</f>
        <v>1</v>
      </c>
      <c r="L42" s="218" t="s">
        <v>47</v>
      </c>
      <c r="M42" s="221">
        <f t="shared" si="6"/>
        <v>1.0204081632653061</v>
      </c>
      <c r="N42" s="242">
        <f>D42*M42/(TRIM(RIGHT(C42,3))/TRIM(RIGHT($C$42,3)))</f>
        <v>4250</v>
      </c>
      <c r="O42" s="81">
        <f>M42*$Q$59</f>
        <v>1.0204081632653061</v>
      </c>
      <c r="P42" s="210">
        <f>N42*$Q$59</f>
        <v>4250</v>
      </c>
      <c r="Q42" s="204">
        <f>O42/O42</f>
        <v>1</v>
      </c>
      <c r="R42" s="239">
        <f>O42/((TRIM(RIGHT(C42,3))/TRIM(RIGHT($C$42,3))))</f>
        <v>1.0204081632653061</v>
      </c>
      <c r="S42" s="123" t="s">
        <v>61</v>
      </c>
      <c r="T42" s="124" t="str">
        <f t="shared" si="1"/>
        <v>2015 VBT MSM RR 125 ALB</v>
      </c>
    </row>
    <row r="43" spans="1:20" ht="18" customHeight="1" x14ac:dyDescent="0.25">
      <c r="A43" s="74" t="s">
        <v>17</v>
      </c>
      <c r="B43" s="75" t="s">
        <v>31</v>
      </c>
      <c r="C43" s="76" t="s">
        <v>74</v>
      </c>
      <c r="D43" s="130">
        <v>875</v>
      </c>
      <c r="E43" s="131">
        <v>910</v>
      </c>
      <c r="F43" s="245">
        <f>E43/D43</f>
        <v>1.04</v>
      </c>
      <c r="G43" s="230" t="s">
        <v>156</v>
      </c>
      <c r="H43" s="233" t="s">
        <v>20</v>
      </c>
      <c r="I43" s="256">
        <f>$F$46</f>
        <v>0.96678966789667897</v>
      </c>
      <c r="J43" s="226" t="s">
        <v>45</v>
      </c>
      <c r="K43" s="200">
        <f>F43/$F$46*(TRIM(RIGHT(C43,3))/TRIM(RIGHT($C$46,3)))</f>
        <v>0.68455239417071478</v>
      </c>
      <c r="L43" s="214" t="s">
        <v>47</v>
      </c>
      <c r="M43" s="222">
        <f t="shared" si="6"/>
        <v>0.66181818181818186</v>
      </c>
      <c r="N43" s="194">
        <f>D43*M43/(TRIM(RIGHT(C43,3))/TRIM(RIGHT($C$46,3)))</f>
        <v>910.00000000000011</v>
      </c>
      <c r="O43" s="18">
        <f>M43*$Q$60</f>
        <v>0.66181818181818186</v>
      </c>
      <c r="P43" s="211">
        <f>N43*$Q$60</f>
        <v>910.00000000000011</v>
      </c>
      <c r="Q43" s="205">
        <f>O43/O46</f>
        <v>0.68455239417071478</v>
      </c>
      <c r="R43" s="240">
        <f>O43/((TRIM(RIGHT(C43,3))/TRIM(RIGHT($C$46,3))))</f>
        <v>1.04</v>
      </c>
      <c r="S43" s="121" t="s">
        <v>61</v>
      </c>
      <c r="T43" s="122" t="str">
        <f t="shared" si="1"/>
        <v>2015 VBT FNS RR 70 ALB</v>
      </c>
    </row>
    <row r="44" spans="1:20" ht="18" customHeight="1" x14ac:dyDescent="0.25">
      <c r="A44" s="17" t="s">
        <v>18</v>
      </c>
      <c r="B44" s="54" t="s">
        <v>32</v>
      </c>
      <c r="C44" s="49" t="s">
        <v>75</v>
      </c>
      <c r="D44" s="130">
        <v>1675</v>
      </c>
      <c r="E44" s="126">
        <v>1600</v>
      </c>
      <c r="F44" s="245">
        <f t="shared" ref="F44:F45" si="8">E44/D44</f>
        <v>0.95522388059701491</v>
      </c>
      <c r="G44" s="230" t="s">
        <v>156</v>
      </c>
      <c r="H44" s="233" t="s">
        <v>20</v>
      </c>
      <c r="I44" s="256">
        <f t="shared" ref="I44:I46" si="9">$F$46</f>
        <v>0.96678966789667897</v>
      </c>
      <c r="J44" s="226" t="s">
        <v>45</v>
      </c>
      <c r="K44" s="200">
        <f t="shared" ref="K44:K46" si="10">F44/$F$46*(TRIM(RIGHT(C44,3))/TRIM(RIGHT($C$46,3)))</f>
        <v>0.71857230157332697</v>
      </c>
      <c r="L44" s="214" t="s">
        <v>47</v>
      </c>
      <c r="M44" s="220">
        <f t="shared" si="6"/>
        <v>0.69470827679782898</v>
      </c>
      <c r="N44" s="192">
        <f>D44*M44/(TRIM(RIGHT(C44,3))/TRIM(RIGHT($C$46,3)))</f>
        <v>1599.9999999999998</v>
      </c>
      <c r="O44" s="18">
        <f>M44*$Q$60</f>
        <v>0.69470827679782898</v>
      </c>
      <c r="P44" s="209">
        <f t="shared" ref="P44:P46" si="11">N44*$Q$60</f>
        <v>1599.9999999999998</v>
      </c>
      <c r="Q44" s="203">
        <f>O44/O46</f>
        <v>0.71857230157332697</v>
      </c>
      <c r="R44" s="238">
        <f t="shared" ref="R44:R46" si="12">O44/((TRIM(RIGHT(C44,3))/TRIM(RIGHT($C$46,3))))</f>
        <v>0.9552238805970148</v>
      </c>
      <c r="S44" s="107" t="s">
        <v>61</v>
      </c>
      <c r="T44" s="108" t="str">
        <f t="shared" si="1"/>
        <v>2015 VBT FNS RR 80 ALB</v>
      </c>
    </row>
    <row r="45" spans="1:20" ht="18" customHeight="1" x14ac:dyDescent="0.25">
      <c r="A45" s="17" t="s">
        <v>19</v>
      </c>
      <c r="B45" s="54" t="s">
        <v>33</v>
      </c>
      <c r="C45" s="49" t="s">
        <v>76</v>
      </c>
      <c r="D45" s="130">
        <v>2125</v>
      </c>
      <c r="E45" s="126">
        <v>1920</v>
      </c>
      <c r="F45" s="245">
        <f t="shared" si="8"/>
        <v>0.90352941176470591</v>
      </c>
      <c r="G45" s="230" t="s">
        <v>156</v>
      </c>
      <c r="H45" s="233" t="s">
        <v>20</v>
      </c>
      <c r="I45" s="256">
        <f t="shared" si="9"/>
        <v>0.96678966789667897</v>
      </c>
      <c r="J45" s="226" t="s">
        <v>45</v>
      </c>
      <c r="K45" s="200">
        <f t="shared" si="10"/>
        <v>0.76464546679185208</v>
      </c>
      <c r="L45" s="214" t="s">
        <v>47</v>
      </c>
      <c r="M45" s="220">
        <f t="shared" si="6"/>
        <v>0.73925133689839573</v>
      </c>
      <c r="N45" s="192">
        <f t="shared" ref="N45" si="13">D45*M45/(TRIM(RIGHT(C45,3))/TRIM(RIGHT($C$46,3)))</f>
        <v>1920</v>
      </c>
      <c r="O45" s="18">
        <f>M45*$Q$60</f>
        <v>0.73925133689839573</v>
      </c>
      <c r="P45" s="209">
        <f t="shared" si="11"/>
        <v>1920</v>
      </c>
      <c r="Q45" s="203">
        <f>O45/O46</f>
        <v>0.76464546679185208</v>
      </c>
      <c r="R45" s="238">
        <f t="shared" si="12"/>
        <v>0.9035294117647058</v>
      </c>
      <c r="S45" s="107" t="s">
        <v>61</v>
      </c>
      <c r="T45" s="108" t="str">
        <f t="shared" si="1"/>
        <v>2015 VBT FNS RR 90 ALB</v>
      </c>
    </row>
    <row r="46" spans="1:20" ht="18" customHeight="1" x14ac:dyDescent="0.25">
      <c r="A46" s="78" t="s">
        <v>20</v>
      </c>
      <c r="B46" s="79" t="s">
        <v>116</v>
      </c>
      <c r="C46" s="80" t="s">
        <v>77</v>
      </c>
      <c r="D46" s="128">
        <v>2710</v>
      </c>
      <c r="E46" s="129">
        <v>2620</v>
      </c>
      <c r="F46" s="246">
        <f>E46/D46</f>
        <v>0.96678966789667897</v>
      </c>
      <c r="G46" s="231" t="s">
        <v>156</v>
      </c>
      <c r="H46" s="234" t="s">
        <v>20</v>
      </c>
      <c r="I46" s="257">
        <f t="shared" si="9"/>
        <v>0.96678966789667897</v>
      </c>
      <c r="J46" s="225" t="s">
        <v>45</v>
      </c>
      <c r="K46" s="201">
        <f t="shared" si="10"/>
        <v>1</v>
      </c>
      <c r="L46" s="218" t="s">
        <v>47</v>
      </c>
      <c r="M46" s="221">
        <f t="shared" si="6"/>
        <v>0.96678966789667897</v>
      </c>
      <c r="N46" s="193">
        <f>D46*M46/(TRIM(RIGHT(C46,3))/TRIM(RIGHT($C$46,3)))</f>
        <v>2620</v>
      </c>
      <c r="O46" s="81">
        <f>M46*$Q$60</f>
        <v>0.96678966789667897</v>
      </c>
      <c r="P46" s="210">
        <f t="shared" si="11"/>
        <v>2620</v>
      </c>
      <c r="Q46" s="204">
        <f>O46/O46</f>
        <v>1</v>
      </c>
      <c r="R46" s="239">
        <f t="shared" si="12"/>
        <v>0.96678966789667897</v>
      </c>
      <c r="S46" s="123" t="s">
        <v>61</v>
      </c>
      <c r="T46" s="124" t="str">
        <f t="shared" si="1"/>
        <v>2015 VBT FNS RR 110 ALB</v>
      </c>
    </row>
    <row r="47" spans="1:20" ht="18" customHeight="1" x14ac:dyDescent="0.25">
      <c r="A47" s="74" t="s">
        <v>21</v>
      </c>
      <c r="B47" s="75" t="s">
        <v>34</v>
      </c>
      <c r="C47" s="76" t="s">
        <v>91</v>
      </c>
      <c r="D47" s="130">
        <v>2450</v>
      </c>
      <c r="E47" s="131">
        <v>2444</v>
      </c>
      <c r="F47" s="245">
        <f>E47/D47</f>
        <v>0.99755102040816324</v>
      </c>
      <c r="G47" s="232" t="s">
        <v>157</v>
      </c>
      <c r="H47" s="235" t="s">
        <v>22</v>
      </c>
      <c r="I47" s="258">
        <f>$F$48</f>
        <v>0.99613793103448278</v>
      </c>
      <c r="J47" s="226" t="s">
        <v>45</v>
      </c>
      <c r="K47" s="244">
        <f>F47/$F$48*(TRIM(RIGHT(C47,3))/TRIM(RIGHT($C$48,3)))</f>
        <v>0.66761237865403711</v>
      </c>
      <c r="L47" s="214" t="s">
        <v>47</v>
      </c>
      <c r="M47" s="222">
        <f t="shared" si="6"/>
        <v>0.66503401360544223</v>
      </c>
      <c r="N47" s="194">
        <f>D47*M47/(TRIM(RIGHT(C47,3))/TRIM(RIGHT($C$48,3)))</f>
        <v>2444.0000000000005</v>
      </c>
      <c r="O47" s="77">
        <f>M47*$Q$61</f>
        <v>0.66503401360544223</v>
      </c>
      <c r="P47" s="211">
        <f>N47*$Q$61</f>
        <v>2444.0000000000005</v>
      </c>
      <c r="Q47" s="205">
        <f>O47/O48</f>
        <v>0.66761237865403711</v>
      </c>
      <c r="R47" s="240">
        <f>O47/((TRIM(RIGHT(C47,3))/TRIM(RIGHT($C$48,3))))</f>
        <v>0.99755102040816335</v>
      </c>
      <c r="S47" s="121" t="s">
        <v>61</v>
      </c>
      <c r="T47" s="122" t="str">
        <f t="shared" si="1"/>
        <v>2015 VBT FSM RR 100 ALB</v>
      </c>
    </row>
    <row r="48" spans="1:20" ht="18" customHeight="1" x14ac:dyDescent="0.25">
      <c r="A48" s="78" t="s">
        <v>22</v>
      </c>
      <c r="B48" s="79" t="s">
        <v>117</v>
      </c>
      <c r="C48" s="80" t="s">
        <v>92</v>
      </c>
      <c r="D48" s="128">
        <v>3625</v>
      </c>
      <c r="E48" s="129">
        <v>3611</v>
      </c>
      <c r="F48" s="246">
        <f t="shared" si="2"/>
        <v>0.99613793103448278</v>
      </c>
      <c r="G48" s="231" t="s">
        <v>157</v>
      </c>
      <c r="H48" s="234" t="s">
        <v>22</v>
      </c>
      <c r="I48" s="257">
        <f>$F$48</f>
        <v>0.99613793103448278</v>
      </c>
      <c r="J48" s="225" t="s">
        <v>45</v>
      </c>
      <c r="K48" s="201">
        <f>F48/$F$48*(TRIM(RIGHT(C48,3))/TRIM(RIGHT($C$48,3)))</f>
        <v>1</v>
      </c>
      <c r="L48" s="218" t="s">
        <v>47</v>
      </c>
      <c r="M48" s="221">
        <f t="shared" si="6"/>
        <v>0.99613793103448278</v>
      </c>
      <c r="N48" s="193">
        <f>D48*M48/(TRIM(RIGHT(C48,3))/TRIM(RIGHT($C$48,3)))</f>
        <v>3611</v>
      </c>
      <c r="O48" s="81">
        <f>M48*$Q$61</f>
        <v>0.99613793103448278</v>
      </c>
      <c r="P48" s="210">
        <f>N48*$Q$61</f>
        <v>3611</v>
      </c>
      <c r="Q48" s="204">
        <f>O48/O48</f>
        <v>1</v>
      </c>
      <c r="R48" s="239">
        <f>O48/((TRIM(RIGHT(C48,3))/TRIM(RIGHT($C$48,3))))</f>
        <v>0.99613793103448278</v>
      </c>
      <c r="S48" s="123" t="s">
        <v>61</v>
      </c>
      <c r="T48" s="124" t="str">
        <f t="shared" si="1"/>
        <v>2015 VBT FSM RR 150 ALB</v>
      </c>
    </row>
    <row r="49" spans="1:20" s="11" customFormat="1" x14ac:dyDescent="0.25">
      <c r="A49" s="87" t="s">
        <v>3</v>
      </c>
      <c r="B49" s="88" t="s">
        <v>154</v>
      </c>
      <c r="C49" s="89"/>
      <c r="D49" s="90">
        <f>SUM(D37:D40)</f>
        <v>8995</v>
      </c>
      <c r="E49" s="119">
        <f>SUM(E37:E40)</f>
        <v>8842</v>
      </c>
      <c r="F49" s="249">
        <f>E49/D49</f>
        <v>0.98299055030572535</v>
      </c>
      <c r="G49" s="190"/>
      <c r="H49" s="197"/>
      <c r="I49" s="219"/>
      <c r="J49" s="219"/>
      <c r="K49" s="195"/>
      <c r="L49" s="223"/>
      <c r="M49" s="197"/>
      <c r="N49" s="237">
        <f>SUM(N37:N40)</f>
        <v>8842</v>
      </c>
      <c r="O49" s="92"/>
      <c r="P49" s="212">
        <f>SUM(P37:P40)</f>
        <v>8842</v>
      </c>
      <c r="Q49" s="206"/>
      <c r="R49" s="93"/>
      <c r="S49" s="93"/>
      <c r="T49" s="94"/>
    </row>
    <row r="50" spans="1:20" s="11" customFormat="1" x14ac:dyDescent="0.25">
      <c r="A50" s="87" t="s">
        <v>3</v>
      </c>
      <c r="B50" s="88" t="s">
        <v>155</v>
      </c>
      <c r="C50" s="89"/>
      <c r="D50" s="90">
        <f>SUM(D41:D42)</f>
        <v>6790</v>
      </c>
      <c r="E50" s="119">
        <f>SUM(E41:E42)</f>
        <v>6750</v>
      </c>
      <c r="F50" s="249">
        <f t="shared" ref="F50:F51" si="14">E50/D50</f>
        <v>0.99410898379970547</v>
      </c>
      <c r="G50" s="190"/>
      <c r="H50" s="197"/>
      <c r="I50" s="219"/>
      <c r="J50" s="219"/>
      <c r="K50" s="195"/>
      <c r="L50" s="223"/>
      <c r="M50" s="197"/>
      <c r="N50" s="237">
        <f>SUM(N41:N42)</f>
        <v>6750</v>
      </c>
      <c r="O50" s="92"/>
      <c r="P50" s="119">
        <f>SUM(P41:P42)</f>
        <v>6750</v>
      </c>
      <c r="Q50" s="88"/>
      <c r="R50" s="93"/>
      <c r="S50" s="93"/>
      <c r="T50" s="94"/>
    </row>
    <row r="51" spans="1:20" s="11" customFormat="1" x14ac:dyDescent="0.25">
      <c r="A51" s="87" t="s">
        <v>3</v>
      </c>
      <c r="B51" s="88" t="s">
        <v>156</v>
      </c>
      <c r="C51" s="89"/>
      <c r="D51" s="90">
        <f>SUM(D43:D46)</f>
        <v>7385</v>
      </c>
      <c r="E51" s="119">
        <f>SUM(E43:E46)</f>
        <v>7050</v>
      </c>
      <c r="F51" s="249">
        <f t="shared" si="14"/>
        <v>0.95463777928232907</v>
      </c>
      <c r="G51" s="190"/>
      <c r="H51" s="197"/>
      <c r="I51" s="219"/>
      <c r="J51" s="187"/>
      <c r="K51" s="92"/>
      <c r="L51" s="223"/>
      <c r="M51" s="197"/>
      <c r="N51" s="237">
        <f>SUM(N43:N46)</f>
        <v>7050</v>
      </c>
      <c r="O51" s="92"/>
      <c r="P51" s="119">
        <f>SUM(P43:P46)</f>
        <v>7050</v>
      </c>
      <c r="Q51" s="88"/>
      <c r="R51" s="93"/>
      <c r="S51" s="93"/>
      <c r="T51" s="94"/>
    </row>
    <row r="52" spans="1:20" s="11" customFormat="1" x14ac:dyDescent="0.25">
      <c r="A52" s="87" t="s">
        <v>3</v>
      </c>
      <c r="B52" s="88" t="s">
        <v>157</v>
      </c>
      <c r="C52" s="89"/>
      <c r="D52" s="90">
        <f>SUM(D47:D48)</f>
        <v>6075</v>
      </c>
      <c r="E52" s="119">
        <f>SUM(E47:E48)</f>
        <v>6055</v>
      </c>
      <c r="F52" s="249">
        <f>E52/D52</f>
        <v>0.99670781893004112</v>
      </c>
      <c r="G52" s="190"/>
      <c r="H52" s="197"/>
      <c r="I52" s="219"/>
      <c r="J52" s="187"/>
      <c r="K52" s="92"/>
      <c r="L52" s="223"/>
      <c r="M52" s="197"/>
      <c r="N52" s="237">
        <f>SUM(N47:N48)</f>
        <v>6055</v>
      </c>
      <c r="O52" s="92"/>
      <c r="P52" s="119">
        <f>SUM(P47:P48)</f>
        <v>6055</v>
      </c>
      <c r="Q52" s="88"/>
      <c r="R52" s="93"/>
      <c r="S52" s="93"/>
      <c r="T52" s="94"/>
    </row>
    <row r="53" spans="1:20" ht="20.100000000000001" customHeight="1" x14ac:dyDescent="0.25">
      <c r="A53" s="22"/>
      <c r="B53" s="23"/>
      <c r="C53" s="23"/>
      <c r="D53" s="120" t="s">
        <v>172</v>
      </c>
      <c r="E53" s="135">
        <v>1</v>
      </c>
      <c r="F53" s="25"/>
      <c r="G53" s="25"/>
      <c r="H53" s="25"/>
      <c r="I53" s="25"/>
      <c r="J53" s="25"/>
      <c r="K53" s="25"/>
      <c r="L53" s="25"/>
      <c r="M53" s="25"/>
      <c r="N53" s="24"/>
      <c r="O53" s="25"/>
      <c r="P53" s="25"/>
      <c r="Q53" s="24"/>
      <c r="R53" s="24"/>
      <c r="S53" s="24"/>
      <c r="T53" s="26"/>
    </row>
    <row r="54" spans="1:20" ht="20.100000000000001" customHeight="1" x14ac:dyDescent="0.25">
      <c r="A54" s="160"/>
      <c r="D54" s="158" t="s">
        <v>171</v>
      </c>
      <c r="E54" s="135">
        <v>1</v>
      </c>
      <c r="T54" s="161"/>
    </row>
    <row r="55" spans="1:20" ht="20.100000000000001" customHeight="1" x14ac:dyDescent="0.25">
      <c r="A55" s="160"/>
      <c r="D55" s="158" t="s">
        <v>173</v>
      </c>
      <c r="E55" s="135">
        <v>1</v>
      </c>
      <c r="T55" s="161"/>
    </row>
    <row r="56" spans="1:20" ht="20.100000000000001" customHeight="1" x14ac:dyDescent="0.25">
      <c r="A56" s="160"/>
      <c r="D56" s="158" t="s">
        <v>174</v>
      </c>
      <c r="E56" s="135">
        <v>1</v>
      </c>
      <c r="T56" s="161"/>
    </row>
    <row r="57" spans="1:20" ht="20.100000000000001" customHeight="1" x14ac:dyDescent="0.25">
      <c r="A57" s="160"/>
      <c r="D57" s="158"/>
      <c r="E57" s="166"/>
      <c r="T57" s="161"/>
    </row>
    <row r="58" spans="1:20" ht="20.100000000000001" customHeight="1" x14ac:dyDescent="0.25">
      <c r="A58" s="160"/>
      <c r="D58" s="158"/>
      <c r="E58" s="166"/>
      <c r="O58" s="158" t="str">
        <f>"MNS Normalization Ratio (NR) = Actual Aggregate Claim Amount / RB Expected Aggregate Claim Amount = "&amp;ROUND(E49,0)&amp;" / "&amp;ROUND(N49,0)&amp;":"</f>
        <v>MNS Normalization Ratio (NR) = Actual Aggregate Claim Amount / RB Expected Aggregate Claim Amount = 8842 / 8842:</v>
      </c>
      <c r="P58" s="158"/>
      <c r="Q58" s="3">
        <f>E49/N49</f>
        <v>1</v>
      </c>
      <c r="T58" s="161"/>
    </row>
    <row r="59" spans="1:20" ht="20.100000000000001" customHeight="1" x14ac:dyDescent="0.25">
      <c r="A59" s="160"/>
      <c r="D59" s="158"/>
      <c r="E59" s="166"/>
      <c r="O59" s="158" t="str">
        <f>"MSM Normalization Ratio (NR) = Actual Aggregate Claim Amount / RB Expected Aggregate Claim Amount = "&amp;ROUND(E50,0)&amp;" / "&amp;ROUND(N50,0)&amp;":"</f>
        <v>MSM Normalization Ratio (NR) = Actual Aggregate Claim Amount / RB Expected Aggregate Claim Amount = 6750 / 6750:</v>
      </c>
      <c r="P59" s="158"/>
      <c r="Q59" s="3">
        <f t="shared" ref="Q59:Q61" si="15">E50/N50</f>
        <v>1</v>
      </c>
      <c r="T59" s="161"/>
    </row>
    <row r="60" spans="1:20" ht="20.100000000000001" customHeight="1" x14ac:dyDescent="0.25">
      <c r="A60" s="160"/>
      <c r="D60" s="158"/>
      <c r="E60" s="166"/>
      <c r="O60" s="158" t="str">
        <f>"FNS Normalization Ratio (NR) = Actual Aggregate Claim Amount / RB Expected Aggregate Claim Amount = "&amp;ROUND(E51,0)&amp;" / "&amp;ROUND(N51,0)&amp;":"</f>
        <v>FNS Normalization Ratio (NR) = Actual Aggregate Claim Amount / RB Expected Aggregate Claim Amount = 7050 / 7050:</v>
      </c>
      <c r="P60" s="158"/>
      <c r="Q60" s="3">
        <f t="shared" si="15"/>
        <v>1</v>
      </c>
      <c r="T60" s="161"/>
    </row>
    <row r="61" spans="1:20" ht="20.100000000000001" customHeight="1" x14ac:dyDescent="0.25">
      <c r="A61" s="27"/>
      <c r="B61" s="28"/>
      <c r="C61" s="28"/>
      <c r="D61" s="28"/>
      <c r="E61" s="28"/>
      <c r="F61" s="28"/>
      <c r="G61" s="28"/>
      <c r="H61" s="28"/>
      <c r="I61" s="28"/>
      <c r="J61" s="28"/>
      <c r="K61" s="28"/>
      <c r="L61" s="28"/>
      <c r="M61" s="28"/>
      <c r="N61" s="28"/>
      <c r="O61" s="29" t="str">
        <f>"FSM Normalization Ratio (NR) = Actual Aggregate Claim Amount / RB Expected Aggregate Claim Amount = "&amp;ROUND(E52,0)&amp;" / "&amp;ROUND(N52,0)&amp;":"</f>
        <v>FSM Normalization Ratio (NR) = Actual Aggregate Claim Amount / RB Expected Aggregate Claim Amount = 6055 / 6055:</v>
      </c>
      <c r="P61" s="29"/>
      <c r="Q61" s="32">
        <f t="shared" si="15"/>
        <v>1</v>
      </c>
      <c r="R61" s="30"/>
      <c r="S61" s="30"/>
      <c r="T61" s="34"/>
    </row>
  </sheetData>
  <mergeCells count="1">
    <mergeCell ref="R35:T35"/>
  </mergeCells>
  <printOptions horizontalCentered="1"/>
  <pageMargins left="0" right="0" top="0.5" bottom="0" header="0.3" footer="0.3"/>
  <pageSetup scale="6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V44"/>
  <sheetViews>
    <sheetView showGridLines="0" topLeftCell="B25" zoomScaleNormal="100" workbookViewId="0">
      <selection activeCell="P23" sqref="P23:P25"/>
    </sheetView>
  </sheetViews>
  <sheetFormatPr defaultRowHeight="15" x14ac:dyDescent="0.25"/>
  <cols>
    <col min="1" max="1" width="11.5703125" customWidth="1"/>
    <col min="2" max="2" width="19.85546875" style="1" customWidth="1"/>
    <col min="3" max="3" width="12.85546875" style="1" customWidth="1"/>
    <col min="4" max="4" width="18" style="1" customWidth="1"/>
    <col min="5" max="5" width="9.5703125" customWidth="1"/>
    <col min="6" max="6" width="7" style="4" customWidth="1"/>
    <col min="7" max="7" width="11.28515625" style="4" customWidth="1"/>
    <col min="8" max="8" width="2.28515625" style="4" customWidth="1"/>
    <col min="9" max="9" width="7" style="4" customWidth="1"/>
    <col min="10" max="10" width="4" style="4" customWidth="1"/>
    <col min="11" max="11" width="13.85546875" style="4" customWidth="1"/>
    <col min="12" max="12" width="2.7109375" style="4" customWidth="1"/>
    <col min="13" max="13" width="9.85546875" style="4" customWidth="1"/>
    <col min="14" max="14" width="3.85546875" style="4" customWidth="1"/>
    <col min="15" max="15" width="9.42578125" style="4" customWidth="1"/>
    <col min="16" max="16" width="9.42578125" customWidth="1"/>
    <col min="17" max="17" width="8.42578125" style="4" customWidth="1"/>
    <col min="18" max="18" width="12.28515625" customWidth="1"/>
    <col min="19" max="19" width="1.28515625" customWidth="1"/>
    <col min="20" max="20" width="6.42578125" customWidth="1"/>
    <col min="21" max="21" width="2.85546875" customWidth="1"/>
    <col min="22" max="22" width="23.7109375" customWidth="1"/>
  </cols>
  <sheetData>
    <row r="1" spans="1:22" ht="18" x14ac:dyDescent="0.35">
      <c r="A1" s="118" t="s">
        <v>190</v>
      </c>
      <c r="F1" s="6"/>
      <c r="V1" s="264">
        <f>'Relativistic Method - Example 1'!$K$1</f>
        <v>43651</v>
      </c>
    </row>
    <row r="2" spans="1:22" ht="14.45" x14ac:dyDescent="0.3">
      <c r="A2" s="3"/>
      <c r="F2" s="6"/>
    </row>
    <row r="3" spans="1:22" ht="20.100000000000001" customHeight="1" x14ac:dyDescent="0.3">
      <c r="A3" s="13"/>
      <c r="F3" s="6"/>
    </row>
    <row r="4" spans="1:22" ht="20.100000000000001" customHeight="1" x14ac:dyDescent="0.3">
      <c r="A4" s="13"/>
      <c r="F4" s="6"/>
    </row>
    <row r="5" spans="1:22" ht="20.100000000000001" customHeight="1" x14ac:dyDescent="0.3">
      <c r="A5" s="13"/>
      <c r="F5" s="6"/>
    </row>
    <row r="6" spans="1:22" ht="20.100000000000001" customHeight="1" x14ac:dyDescent="0.3">
      <c r="A6" s="13"/>
      <c r="F6" s="6"/>
    </row>
    <row r="7" spans="1:22" ht="20.100000000000001" customHeight="1" x14ac:dyDescent="0.3">
      <c r="A7" s="13"/>
      <c r="F7" s="6"/>
    </row>
    <row r="8" spans="1:22" ht="20.100000000000001" customHeight="1" x14ac:dyDescent="0.3">
      <c r="A8" s="13"/>
      <c r="F8" s="6"/>
    </row>
    <row r="9" spans="1:22" ht="20.100000000000001" customHeight="1" x14ac:dyDescent="0.3">
      <c r="A9" s="13"/>
      <c r="F9" s="6"/>
    </row>
    <row r="10" spans="1:22" ht="20.100000000000001" customHeight="1" x14ac:dyDescent="0.3">
      <c r="A10" s="13"/>
      <c r="F10" s="6"/>
    </row>
    <row r="11" spans="1:22" ht="20.100000000000001" customHeight="1" x14ac:dyDescent="0.3">
      <c r="A11" s="13"/>
      <c r="F11" s="6"/>
    </row>
    <row r="12" spans="1:22" ht="20.100000000000001" customHeight="1" x14ac:dyDescent="0.3">
      <c r="A12" s="13"/>
      <c r="F12" s="6"/>
    </row>
    <row r="13" spans="1:22" ht="20.100000000000001" customHeight="1" x14ac:dyDescent="0.3">
      <c r="A13" s="13"/>
      <c r="F13" s="6"/>
    </row>
    <row r="14" spans="1:22" ht="20.100000000000001" customHeight="1" x14ac:dyDescent="0.3">
      <c r="A14" s="13"/>
      <c r="F14" s="6"/>
    </row>
    <row r="15" spans="1:22" ht="20.100000000000001" customHeight="1" x14ac:dyDescent="0.3">
      <c r="A15" s="13"/>
      <c r="F15" s="6"/>
    </row>
    <row r="16" spans="1:22" ht="20.100000000000001" customHeight="1" x14ac:dyDescent="0.3">
      <c r="A16" s="13"/>
      <c r="F16" s="6"/>
    </row>
    <row r="17" spans="1:22" ht="20.100000000000001" customHeight="1" x14ac:dyDescent="0.3">
      <c r="A17" s="13"/>
      <c r="F17" s="6"/>
    </row>
    <row r="18" spans="1:22" ht="20.100000000000001" customHeight="1" x14ac:dyDescent="0.3">
      <c r="A18" s="13"/>
      <c r="F18" s="6"/>
    </row>
    <row r="19" spans="1:22" ht="20.100000000000001" customHeight="1" x14ac:dyDescent="0.3">
      <c r="A19" s="13"/>
      <c r="F19" s="6"/>
    </row>
    <row r="20" spans="1:22" ht="20.100000000000001" customHeight="1" x14ac:dyDescent="0.3">
      <c r="A20" s="13"/>
      <c r="F20" s="6"/>
    </row>
    <row r="21" spans="1:22" ht="20.100000000000001" customHeight="1" x14ac:dyDescent="0.3">
      <c r="A21" s="13"/>
      <c r="F21" s="6"/>
    </row>
    <row r="22" spans="1:22" ht="20.100000000000001" customHeight="1" x14ac:dyDescent="0.3">
      <c r="A22" s="3"/>
      <c r="F22" s="6"/>
    </row>
    <row r="23" spans="1:22" ht="14.45" x14ac:dyDescent="0.3">
      <c r="A23" s="95" t="s">
        <v>81</v>
      </c>
      <c r="B23" s="68"/>
      <c r="C23" s="69" t="s">
        <v>39</v>
      </c>
      <c r="D23" s="23"/>
      <c r="E23" s="24"/>
      <c r="F23" s="70"/>
      <c r="G23" s="71" t="s">
        <v>44</v>
      </c>
      <c r="H23" s="69"/>
      <c r="I23" s="69"/>
      <c r="J23" s="69"/>
      <c r="K23" s="25"/>
      <c r="L23" s="25"/>
      <c r="M23" s="25"/>
      <c r="N23" s="25"/>
      <c r="O23" s="70"/>
      <c r="P23" s="67" t="s">
        <v>64</v>
      </c>
      <c r="Q23" s="25"/>
      <c r="R23" s="72"/>
      <c r="S23" s="24"/>
      <c r="T23" s="67" t="s">
        <v>56</v>
      </c>
      <c r="U23" s="67"/>
      <c r="V23" s="72"/>
    </row>
    <row r="24" spans="1:22" ht="14.45" x14ac:dyDescent="0.3">
      <c r="A24" s="116" t="s">
        <v>80</v>
      </c>
      <c r="B24" s="8"/>
      <c r="C24" s="5"/>
      <c r="F24" s="9"/>
      <c r="G24" s="117"/>
      <c r="H24" s="5"/>
      <c r="I24" s="5"/>
      <c r="J24" s="5"/>
      <c r="O24" s="9"/>
      <c r="P24" s="3" t="s">
        <v>65</v>
      </c>
      <c r="R24" s="10"/>
      <c r="T24" s="3" t="s">
        <v>55</v>
      </c>
      <c r="U24" s="3"/>
      <c r="V24" s="10"/>
    </row>
    <row r="25" spans="1:22" ht="14.45" x14ac:dyDescent="0.3">
      <c r="A25" s="96"/>
      <c r="B25" s="8"/>
      <c r="C25" s="5"/>
      <c r="F25" s="9"/>
      <c r="G25" s="12"/>
      <c r="I25" s="5"/>
      <c r="J25" s="5"/>
      <c r="O25" s="9"/>
      <c r="P25" s="3" t="s">
        <v>66</v>
      </c>
      <c r="R25" s="10"/>
      <c r="T25" s="3"/>
      <c r="U25" s="3"/>
      <c r="V25" s="10"/>
    </row>
    <row r="26" spans="1:22" ht="14.45" x14ac:dyDescent="0.3">
      <c r="A26" s="37" t="s">
        <v>6</v>
      </c>
      <c r="B26" s="51" t="s">
        <v>7</v>
      </c>
      <c r="C26" s="42" t="s">
        <v>8</v>
      </c>
      <c r="D26" s="37" t="s">
        <v>9</v>
      </c>
      <c r="E26" s="37" t="s">
        <v>10</v>
      </c>
      <c r="F26" s="51" t="s">
        <v>11</v>
      </c>
      <c r="G26" s="42" t="s">
        <v>12</v>
      </c>
      <c r="H26" s="41"/>
      <c r="I26" s="42" t="s">
        <v>13</v>
      </c>
      <c r="J26" s="41"/>
      <c r="K26" s="42" t="s">
        <v>14</v>
      </c>
      <c r="L26" s="41"/>
      <c r="M26" s="42" t="s">
        <v>25</v>
      </c>
      <c r="N26" s="41"/>
      <c r="O26" s="59" t="s">
        <v>26</v>
      </c>
      <c r="P26" s="42" t="s">
        <v>35</v>
      </c>
      <c r="Q26" s="37" t="s">
        <v>36</v>
      </c>
      <c r="R26" s="51" t="s">
        <v>37</v>
      </c>
      <c r="S26" s="103"/>
      <c r="T26" s="103"/>
      <c r="U26" s="103"/>
      <c r="V26" s="111" t="s">
        <v>62</v>
      </c>
    </row>
    <row r="27" spans="1:22" ht="73.150000000000006" x14ac:dyDescent="0.3">
      <c r="A27" s="35"/>
      <c r="B27" s="52"/>
      <c r="C27" s="44"/>
      <c r="D27" s="36" t="s">
        <v>189</v>
      </c>
      <c r="E27" s="35"/>
      <c r="F27" s="241" t="s">
        <v>176</v>
      </c>
      <c r="G27" s="44"/>
      <c r="H27" s="43"/>
      <c r="I27" s="44"/>
      <c r="J27" s="43"/>
      <c r="K27" s="73" t="s">
        <v>48</v>
      </c>
      <c r="L27" s="43"/>
      <c r="M27" s="44"/>
      <c r="N27" s="43"/>
      <c r="O27" s="60"/>
      <c r="P27" s="56" t="s">
        <v>57</v>
      </c>
      <c r="Q27" s="36" t="s">
        <v>58</v>
      </c>
      <c r="R27" s="63" t="s">
        <v>59</v>
      </c>
      <c r="S27" s="104"/>
      <c r="T27" s="199" t="s">
        <v>175</v>
      </c>
      <c r="U27" s="112"/>
      <c r="V27" s="113"/>
    </row>
    <row r="28" spans="1:22" s="7" customFormat="1" ht="57.6" x14ac:dyDescent="0.3">
      <c r="A28" s="15" t="s">
        <v>43</v>
      </c>
      <c r="B28" s="53" t="s">
        <v>42</v>
      </c>
      <c r="C28" s="48" t="s">
        <v>90</v>
      </c>
      <c r="D28" s="16" t="s">
        <v>217</v>
      </c>
      <c r="E28" s="16" t="s">
        <v>24</v>
      </c>
      <c r="F28" s="55" t="s">
        <v>23</v>
      </c>
      <c r="G28" s="97" t="s">
        <v>2</v>
      </c>
      <c r="H28" s="98" t="s">
        <v>45</v>
      </c>
      <c r="I28" s="98" t="s">
        <v>23</v>
      </c>
      <c r="J28" s="98" t="s">
        <v>46</v>
      </c>
      <c r="K28" s="98" t="s">
        <v>40</v>
      </c>
      <c r="L28" s="98" t="s">
        <v>45</v>
      </c>
      <c r="M28" s="98" t="s">
        <v>41</v>
      </c>
      <c r="N28" s="98" t="s">
        <v>47</v>
      </c>
      <c r="O28" s="99" t="s">
        <v>52</v>
      </c>
      <c r="P28" s="45" t="s">
        <v>63</v>
      </c>
      <c r="Q28" s="16" t="s">
        <v>53</v>
      </c>
      <c r="R28" s="55" t="s">
        <v>54</v>
      </c>
      <c r="S28" s="109" t="s">
        <v>60</v>
      </c>
      <c r="T28" s="109"/>
      <c r="U28" s="109"/>
      <c r="V28" s="110"/>
    </row>
    <row r="29" spans="1:22" ht="18" customHeight="1" x14ac:dyDescent="0.3">
      <c r="A29" s="17" t="s">
        <v>0</v>
      </c>
      <c r="B29" s="54" t="s">
        <v>27</v>
      </c>
      <c r="C29" s="49" t="s">
        <v>68</v>
      </c>
      <c r="D29" s="125">
        <v>64</v>
      </c>
      <c r="E29" s="126">
        <v>50</v>
      </c>
      <c r="F29" s="252">
        <f>E29/D29</f>
        <v>0.78125</v>
      </c>
      <c r="G29" s="127">
        <v>0.15</v>
      </c>
      <c r="H29" s="14" t="s">
        <v>45</v>
      </c>
      <c r="I29" s="260">
        <f>F29</f>
        <v>0.78125</v>
      </c>
      <c r="J29" s="14" t="s">
        <v>46</v>
      </c>
      <c r="K29" s="47">
        <f>1-G29</f>
        <v>0.85</v>
      </c>
      <c r="L29" s="14" t="s">
        <v>45</v>
      </c>
      <c r="M29" s="259">
        <f>$F$41</f>
        <v>0.80877371273712739</v>
      </c>
      <c r="N29" s="14" t="s">
        <v>47</v>
      </c>
      <c r="O29" s="102">
        <f>(G29*I29)+(K29*M29)</f>
        <v>0.80464515582655827</v>
      </c>
      <c r="P29" s="57">
        <f>D29*O29</f>
        <v>51.497289972899729</v>
      </c>
      <c r="Q29" s="18">
        <f>O29*$P$43</f>
        <v>0.80617833764254376</v>
      </c>
      <c r="R29" s="64">
        <f>D29*Q29</f>
        <v>51.595413609122801</v>
      </c>
      <c r="S29" s="105"/>
      <c r="T29" s="107">
        <f>Q29</f>
        <v>0.80617833764254376</v>
      </c>
      <c r="U29" s="107" t="s">
        <v>61</v>
      </c>
      <c r="V29" s="108" t="str">
        <f>"2015 VBT "&amp;C29&amp;" ALB"</f>
        <v>2015 VBT MNS RR 70 ALB</v>
      </c>
    </row>
    <row r="30" spans="1:22" ht="18" customHeight="1" x14ac:dyDescent="0.3">
      <c r="A30" s="17" t="s">
        <v>1</v>
      </c>
      <c r="B30" s="54" t="s">
        <v>28</v>
      </c>
      <c r="C30" s="49" t="s">
        <v>69</v>
      </c>
      <c r="D30" s="125">
        <v>343</v>
      </c>
      <c r="E30" s="126">
        <v>300</v>
      </c>
      <c r="F30" s="252">
        <f t="shared" ref="F30:F40" si="0">E30/D30</f>
        <v>0.87463556851311952</v>
      </c>
      <c r="G30" s="127">
        <v>0.62</v>
      </c>
      <c r="H30" s="14" t="s">
        <v>45</v>
      </c>
      <c r="I30" s="260">
        <f t="shared" ref="I30:I40" si="1">F30</f>
        <v>0.87463556851311952</v>
      </c>
      <c r="J30" s="14" t="s">
        <v>46</v>
      </c>
      <c r="K30" s="47">
        <f t="shared" ref="K30:K40" si="2">1-G30</f>
        <v>0.38</v>
      </c>
      <c r="L30" s="14" t="s">
        <v>45</v>
      </c>
      <c r="M30" s="259">
        <f t="shared" ref="M30:M40" si="3">$F$41</f>
        <v>0.80877371273712739</v>
      </c>
      <c r="N30" s="14" t="s">
        <v>47</v>
      </c>
      <c r="O30" s="102">
        <f t="shared" ref="O30:O40" si="4">(G30*I30)+(K30*M30)</f>
        <v>0.84960806331824257</v>
      </c>
      <c r="P30" s="57">
        <f t="shared" ref="P30:P40" si="5">D30*O30</f>
        <v>291.41556571815721</v>
      </c>
      <c r="Q30" s="18">
        <f t="shared" ref="Q30:Q40" si="6">O30*$P$43</f>
        <v>0.85122691806926154</v>
      </c>
      <c r="R30" s="64">
        <f t="shared" ref="R30:R40" si="7">D30*Q30</f>
        <v>291.97083289775674</v>
      </c>
      <c r="S30" s="105"/>
      <c r="T30" s="107">
        <f t="shared" ref="T30:T40" si="8">Q30</f>
        <v>0.85122691806926154</v>
      </c>
      <c r="U30" s="107" t="s">
        <v>61</v>
      </c>
      <c r="V30" s="108" t="str">
        <f t="shared" ref="V30:V40" si="9">"2015 VBT "&amp;C30&amp;" ALB"</f>
        <v>2015 VBT MNS RR 80 ALB</v>
      </c>
    </row>
    <row r="31" spans="1:22" ht="18" customHeight="1" x14ac:dyDescent="0.3">
      <c r="A31" s="17" t="s">
        <v>4</v>
      </c>
      <c r="B31" s="54" t="s">
        <v>29</v>
      </c>
      <c r="C31" s="49" t="s">
        <v>70</v>
      </c>
      <c r="D31" s="125">
        <v>510</v>
      </c>
      <c r="E31" s="126">
        <v>400</v>
      </c>
      <c r="F31" s="252">
        <f t="shared" si="0"/>
        <v>0.78431372549019607</v>
      </c>
      <c r="G31" s="127">
        <v>0.78</v>
      </c>
      <c r="H31" s="14" t="s">
        <v>45</v>
      </c>
      <c r="I31" s="260">
        <f t="shared" si="1"/>
        <v>0.78431372549019607</v>
      </c>
      <c r="J31" s="14" t="s">
        <v>46</v>
      </c>
      <c r="K31" s="47">
        <f t="shared" si="2"/>
        <v>0.21999999999999997</v>
      </c>
      <c r="L31" s="14" t="s">
        <v>45</v>
      </c>
      <c r="M31" s="259">
        <f t="shared" si="3"/>
        <v>0.80877371273712739</v>
      </c>
      <c r="N31" s="14" t="s">
        <v>47</v>
      </c>
      <c r="O31" s="102">
        <f t="shared" si="4"/>
        <v>0.78969492268452102</v>
      </c>
      <c r="P31" s="57">
        <f t="shared" si="5"/>
        <v>402.7444105691057</v>
      </c>
      <c r="Q31" s="18">
        <f t="shared" si="6"/>
        <v>0.79119961812308648</v>
      </c>
      <c r="R31" s="64">
        <f t="shared" si="7"/>
        <v>403.51180524277413</v>
      </c>
      <c r="S31" s="105"/>
      <c r="T31" s="107">
        <f>Q31</f>
        <v>0.79119961812308648</v>
      </c>
      <c r="U31" s="107" t="s">
        <v>61</v>
      </c>
      <c r="V31" s="108" t="str">
        <f t="shared" si="9"/>
        <v>2015 VBT MNS RR 90 ALB</v>
      </c>
    </row>
    <row r="32" spans="1:22" ht="18" customHeight="1" x14ac:dyDescent="0.3">
      <c r="A32" s="17" t="s">
        <v>5</v>
      </c>
      <c r="B32" s="54" t="s">
        <v>114</v>
      </c>
      <c r="C32" s="49" t="s">
        <v>71</v>
      </c>
      <c r="D32" s="125">
        <v>617</v>
      </c>
      <c r="E32" s="126">
        <v>500</v>
      </c>
      <c r="F32" s="252">
        <f t="shared" si="0"/>
        <v>0.81037277147487841</v>
      </c>
      <c r="G32" s="127">
        <v>0.89</v>
      </c>
      <c r="H32" s="14" t="s">
        <v>45</v>
      </c>
      <c r="I32" s="260">
        <f t="shared" si="1"/>
        <v>0.81037277147487841</v>
      </c>
      <c r="J32" s="14" t="s">
        <v>46</v>
      </c>
      <c r="K32" s="47">
        <f t="shared" si="2"/>
        <v>0.10999999999999999</v>
      </c>
      <c r="L32" s="14" t="s">
        <v>45</v>
      </c>
      <c r="M32" s="259">
        <f t="shared" si="3"/>
        <v>0.80877371273712739</v>
      </c>
      <c r="N32" s="14" t="s">
        <v>47</v>
      </c>
      <c r="O32" s="102">
        <f t="shared" si="4"/>
        <v>0.81019687501372573</v>
      </c>
      <c r="P32" s="57">
        <f t="shared" si="5"/>
        <v>499.8914718834688</v>
      </c>
      <c r="Q32" s="18">
        <f t="shared" si="6"/>
        <v>0.81174063515090489</v>
      </c>
      <c r="R32" s="64">
        <f>D32*Q32</f>
        <v>500.84397188810834</v>
      </c>
      <c r="S32" s="105"/>
      <c r="T32" s="107">
        <f t="shared" si="8"/>
        <v>0.81174063515090489</v>
      </c>
      <c r="U32" s="107" t="s">
        <v>61</v>
      </c>
      <c r="V32" s="108" t="str">
        <f t="shared" si="9"/>
        <v>2015 VBT MNS RR 110 ALB</v>
      </c>
    </row>
    <row r="33" spans="1:22" ht="18" customHeight="1" x14ac:dyDescent="0.3">
      <c r="A33" s="17" t="s">
        <v>15</v>
      </c>
      <c r="B33" s="54" t="s">
        <v>30</v>
      </c>
      <c r="C33" s="76" t="s">
        <v>72</v>
      </c>
      <c r="D33" s="125">
        <v>800</v>
      </c>
      <c r="E33" s="126">
        <v>600</v>
      </c>
      <c r="F33" s="252">
        <f t="shared" si="0"/>
        <v>0.75</v>
      </c>
      <c r="G33" s="127">
        <v>0.95</v>
      </c>
      <c r="H33" s="14" t="s">
        <v>45</v>
      </c>
      <c r="I33" s="260">
        <f t="shared" si="1"/>
        <v>0.75</v>
      </c>
      <c r="J33" s="14" t="s">
        <v>46</v>
      </c>
      <c r="K33" s="47">
        <f t="shared" si="2"/>
        <v>5.0000000000000044E-2</v>
      </c>
      <c r="L33" s="14" t="s">
        <v>45</v>
      </c>
      <c r="M33" s="259">
        <f t="shared" si="3"/>
        <v>0.80877371273712739</v>
      </c>
      <c r="N33" s="14" t="s">
        <v>47</v>
      </c>
      <c r="O33" s="102">
        <f t="shared" si="4"/>
        <v>0.75293868563685629</v>
      </c>
      <c r="P33" s="57">
        <f>D33*O33</f>
        <v>602.35094850948508</v>
      </c>
      <c r="Q33" s="18">
        <f t="shared" si="6"/>
        <v>0.75437334524179067</v>
      </c>
      <c r="R33" s="64">
        <f t="shared" si="7"/>
        <v>603.49867619343252</v>
      </c>
      <c r="S33" s="105"/>
      <c r="T33" s="107">
        <f t="shared" si="8"/>
        <v>0.75437334524179067</v>
      </c>
      <c r="U33" s="107" t="s">
        <v>61</v>
      </c>
      <c r="V33" s="108" t="str">
        <f t="shared" si="9"/>
        <v>2015 VBT MSM RR 75 ALB</v>
      </c>
    </row>
    <row r="34" spans="1:22" ht="18" customHeight="1" x14ac:dyDescent="0.3">
      <c r="A34" s="17" t="s">
        <v>16</v>
      </c>
      <c r="B34" s="54" t="s">
        <v>115</v>
      </c>
      <c r="C34" s="49" t="s">
        <v>73</v>
      </c>
      <c r="D34" s="125">
        <v>833</v>
      </c>
      <c r="E34" s="126">
        <v>700</v>
      </c>
      <c r="F34" s="252">
        <f t="shared" si="0"/>
        <v>0.84033613445378152</v>
      </c>
      <c r="G34" s="127">
        <v>1</v>
      </c>
      <c r="H34" s="14" t="s">
        <v>45</v>
      </c>
      <c r="I34" s="260">
        <f t="shared" si="1"/>
        <v>0.84033613445378152</v>
      </c>
      <c r="J34" s="14" t="s">
        <v>46</v>
      </c>
      <c r="K34" s="47">
        <f t="shared" si="2"/>
        <v>0</v>
      </c>
      <c r="L34" s="14" t="s">
        <v>45</v>
      </c>
      <c r="M34" s="259">
        <f t="shared" si="3"/>
        <v>0.80877371273712739</v>
      </c>
      <c r="N34" s="14" t="s">
        <v>47</v>
      </c>
      <c r="O34" s="102">
        <f t="shared" si="4"/>
        <v>0.84033613445378152</v>
      </c>
      <c r="P34" s="57">
        <f t="shared" si="5"/>
        <v>700</v>
      </c>
      <c r="Q34" s="18">
        <f t="shared" si="6"/>
        <v>0.84193732234552565</v>
      </c>
      <c r="R34" s="64">
        <f t="shared" si="7"/>
        <v>701.33378951382292</v>
      </c>
      <c r="S34" s="105"/>
      <c r="T34" s="107">
        <f t="shared" si="8"/>
        <v>0.84193732234552565</v>
      </c>
      <c r="U34" s="107" t="s">
        <v>61</v>
      </c>
      <c r="V34" s="108" t="str">
        <f t="shared" si="9"/>
        <v>2015 VBT MSM RR 125 ALB</v>
      </c>
    </row>
    <row r="35" spans="1:22" ht="18" customHeight="1" x14ac:dyDescent="0.3">
      <c r="A35" s="17" t="s">
        <v>17</v>
      </c>
      <c r="B35" s="54" t="s">
        <v>31</v>
      </c>
      <c r="C35" s="76" t="s">
        <v>74</v>
      </c>
      <c r="D35" s="125">
        <v>32</v>
      </c>
      <c r="E35" s="126">
        <v>25</v>
      </c>
      <c r="F35" s="252">
        <f t="shared" si="0"/>
        <v>0.78125</v>
      </c>
      <c r="G35" s="127">
        <v>0.05</v>
      </c>
      <c r="H35" s="14" t="s">
        <v>45</v>
      </c>
      <c r="I35" s="260">
        <f t="shared" si="1"/>
        <v>0.78125</v>
      </c>
      <c r="J35" s="14" t="s">
        <v>46</v>
      </c>
      <c r="K35" s="47">
        <f t="shared" si="2"/>
        <v>0.95</v>
      </c>
      <c r="L35" s="14" t="s">
        <v>45</v>
      </c>
      <c r="M35" s="259">
        <f t="shared" si="3"/>
        <v>0.80877371273712739</v>
      </c>
      <c r="N35" s="14" t="s">
        <v>47</v>
      </c>
      <c r="O35" s="102">
        <f t="shared" si="4"/>
        <v>0.80739752710027102</v>
      </c>
      <c r="P35" s="57">
        <f t="shared" si="5"/>
        <v>25.836720867208673</v>
      </c>
      <c r="Q35" s="18">
        <f t="shared" si="6"/>
        <v>0.80893595332188939</v>
      </c>
      <c r="R35" s="64">
        <f t="shared" si="7"/>
        <v>25.88595050630046</v>
      </c>
      <c r="S35" s="105"/>
      <c r="T35" s="107">
        <f t="shared" si="8"/>
        <v>0.80893595332188939</v>
      </c>
      <c r="U35" s="107" t="s">
        <v>61</v>
      </c>
      <c r="V35" s="108" t="str">
        <f t="shared" si="9"/>
        <v>2015 VBT FNS RR 70 ALB</v>
      </c>
    </row>
    <row r="36" spans="1:22" ht="18" customHeight="1" x14ac:dyDescent="0.3">
      <c r="A36" s="17" t="s">
        <v>18</v>
      </c>
      <c r="B36" s="54" t="s">
        <v>32</v>
      </c>
      <c r="C36" s="49" t="s">
        <v>75</v>
      </c>
      <c r="D36" s="125">
        <v>226</v>
      </c>
      <c r="E36" s="126">
        <v>200</v>
      </c>
      <c r="F36" s="252">
        <f t="shared" si="0"/>
        <v>0.88495575221238942</v>
      </c>
      <c r="G36" s="127">
        <v>0.33</v>
      </c>
      <c r="H36" s="14" t="s">
        <v>45</v>
      </c>
      <c r="I36" s="260">
        <f t="shared" si="1"/>
        <v>0.88495575221238942</v>
      </c>
      <c r="J36" s="14" t="s">
        <v>46</v>
      </c>
      <c r="K36" s="47">
        <f t="shared" si="2"/>
        <v>0.66999999999999993</v>
      </c>
      <c r="L36" s="14" t="s">
        <v>45</v>
      </c>
      <c r="M36" s="259">
        <f t="shared" si="3"/>
        <v>0.80877371273712739</v>
      </c>
      <c r="N36" s="14" t="s">
        <v>47</v>
      </c>
      <c r="O36" s="102">
        <f t="shared" si="4"/>
        <v>0.8339137857639638</v>
      </c>
      <c r="P36" s="57">
        <f t="shared" si="5"/>
        <v>188.46451558265582</v>
      </c>
      <c r="Q36" s="18">
        <f t="shared" si="6"/>
        <v>0.8355027364252271</v>
      </c>
      <c r="R36" s="64">
        <f t="shared" si="7"/>
        <v>188.82361843210131</v>
      </c>
      <c r="S36" s="105"/>
      <c r="T36" s="107">
        <f t="shared" si="8"/>
        <v>0.8355027364252271</v>
      </c>
      <c r="U36" s="107" t="s">
        <v>61</v>
      </c>
      <c r="V36" s="108" t="str">
        <f t="shared" si="9"/>
        <v>2015 VBT FNS RR 80 ALB</v>
      </c>
    </row>
    <row r="37" spans="1:22" ht="18" customHeight="1" x14ac:dyDescent="0.3">
      <c r="A37" s="17" t="s">
        <v>19</v>
      </c>
      <c r="B37" s="54" t="s">
        <v>33</v>
      </c>
      <c r="C37" s="49" t="s">
        <v>76</v>
      </c>
      <c r="D37" s="125">
        <v>445</v>
      </c>
      <c r="E37" s="126">
        <v>350</v>
      </c>
      <c r="F37" s="252">
        <f t="shared" si="0"/>
        <v>0.7865168539325843</v>
      </c>
      <c r="G37" s="127">
        <v>0.66</v>
      </c>
      <c r="H37" s="14" t="s">
        <v>45</v>
      </c>
      <c r="I37" s="260">
        <f t="shared" si="1"/>
        <v>0.7865168539325843</v>
      </c>
      <c r="J37" s="14" t="s">
        <v>46</v>
      </c>
      <c r="K37" s="47">
        <f t="shared" si="2"/>
        <v>0.33999999999999997</v>
      </c>
      <c r="L37" s="14" t="s">
        <v>45</v>
      </c>
      <c r="M37" s="259">
        <f t="shared" si="3"/>
        <v>0.80877371273712739</v>
      </c>
      <c r="N37" s="14" t="s">
        <v>47</v>
      </c>
      <c r="O37" s="102">
        <f t="shared" si="4"/>
        <v>0.79408418592612895</v>
      </c>
      <c r="P37" s="57">
        <f t="shared" si="5"/>
        <v>353.36746273712737</v>
      </c>
      <c r="Q37" s="18">
        <f t="shared" si="6"/>
        <v>0.79559724472653015</v>
      </c>
      <c r="R37" s="64">
        <f t="shared" si="7"/>
        <v>354.04077390330593</v>
      </c>
      <c r="S37" s="105"/>
      <c r="T37" s="107">
        <f t="shared" si="8"/>
        <v>0.79559724472653015</v>
      </c>
      <c r="U37" s="107" t="s">
        <v>61</v>
      </c>
      <c r="V37" s="108" t="str">
        <f t="shared" si="9"/>
        <v>2015 VBT FNS RR 90 ALB</v>
      </c>
    </row>
    <row r="38" spans="1:22" ht="18" customHeight="1" x14ac:dyDescent="0.3">
      <c r="A38" s="17" t="s">
        <v>20</v>
      </c>
      <c r="B38" s="54" t="s">
        <v>116</v>
      </c>
      <c r="C38" s="49" t="s">
        <v>77</v>
      </c>
      <c r="D38" s="125">
        <v>545</v>
      </c>
      <c r="E38" s="126">
        <v>450</v>
      </c>
      <c r="F38" s="252">
        <f t="shared" si="0"/>
        <v>0.82568807339449546</v>
      </c>
      <c r="G38" s="127">
        <v>0.75</v>
      </c>
      <c r="H38" s="14" t="s">
        <v>45</v>
      </c>
      <c r="I38" s="260">
        <f t="shared" si="1"/>
        <v>0.82568807339449546</v>
      </c>
      <c r="J38" s="14" t="s">
        <v>46</v>
      </c>
      <c r="K38" s="47">
        <f t="shared" si="2"/>
        <v>0.25</v>
      </c>
      <c r="L38" s="14" t="s">
        <v>45</v>
      </c>
      <c r="M38" s="259">
        <f t="shared" si="3"/>
        <v>0.80877371273712739</v>
      </c>
      <c r="N38" s="14" t="s">
        <v>47</v>
      </c>
      <c r="O38" s="102">
        <f t="shared" si="4"/>
        <v>0.8214594832301535</v>
      </c>
      <c r="P38" s="57">
        <f t="shared" si="5"/>
        <v>447.69541836043368</v>
      </c>
      <c r="Q38" s="18">
        <f t="shared" si="6"/>
        <v>0.82302470329410027</v>
      </c>
      <c r="R38" s="64">
        <f t="shared" si="7"/>
        <v>448.54846329528465</v>
      </c>
      <c r="S38" s="105"/>
      <c r="T38" s="107">
        <f t="shared" si="8"/>
        <v>0.82302470329410027</v>
      </c>
      <c r="U38" s="107" t="s">
        <v>61</v>
      </c>
      <c r="V38" s="108" t="str">
        <f t="shared" si="9"/>
        <v>2015 VBT FNS RR 110 ALB</v>
      </c>
    </row>
    <row r="39" spans="1:22" ht="18" customHeight="1" x14ac:dyDescent="0.3">
      <c r="A39" s="17" t="s">
        <v>21</v>
      </c>
      <c r="B39" s="54" t="s">
        <v>34</v>
      </c>
      <c r="C39" s="76" t="s">
        <v>78</v>
      </c>
      <c r="D39" s="125">
        <v>733</v>
      </c>
      <c r="E39" s="126">
        <v>550</v>
      </c>
      <c r="F39" s="252">
        <f t="shared" si="0"/>
        <v>0.75034106412005452</v>
      </c>
      <c r="G39" s="127">
        <v>0.92</v>
      </c>
      <c r="H39" s="14" t="s">
        <v>45</v>
      </c>
      <c r="I39" s="260">
        <f t="shared" si="1"/>
        <v>0.75034106412005452</v>
      </c>
      <c r="J39" s="14" t="s">
        <v>46</v>
      </c>
      <c r="K39" s="47">
        <f t="shared" si="2"/>
        <v>7.999999999999996E-2</v>
      </c>
      <c r="L39" s="14" t="s">
        <v>45</v>
      </c>
      <c r="M39" s="259">
        <f t="shared" si="3"/>
        <v>0.80877371273712739</v>
      </c>
      <c r="N39" s="14" t="s">
        <v>47</v>
      </c>
      <c r="O39" s="102">
        <f t="shared" si="4"/>
        <v>0.75501567600942032</v>
      </c>
      <c r="P39" s="57">
        <f t="shared" si="5"/>
        <v>553.42649051490514</v>
      </c>
      <c r="Q39" s="18">
        <f t="shared" si="6"/>
        <v>0.75645429314003931</v>
      </c>
      <c r="R39" s="64">
        <f t="shared" si="7"/>
        <v>554.48099687164881</v>
      </c>
      <c r="S39" s="105"/>
      <c r="T39" s="107">
        <f t="shared" si="8"/>
        <v>0.75645429314003931</v>
      </c>
      <c r="U39" s="107" t="s">
        <v>61</v>
      </c>
      <c r="V39" s="108" t="str">
        <f t="shared" si="9"/>
        <v>2015 VBT FSM RR 75 ALB</v>
      </c>
    </row>
    <row r="40" spans="1:22" ht="18" customHeight="1" x14ac:dyDescent="0.25">
      <c r="A40" s="17" t="s">
        <v>22</v>
      </c>
      <c r="B40" s="54" t="s">
        <v>117</v>
      </c>
      <c r="C40" s="49" t="s">
        <v>79</v>
      </c>
      <c r="D40" s="125">
        <v>756</v>
      </c>
      <c r="E40" s="126">
        <v>650</v>
      </c>
      <c r="F40" s="252">
        <f t="shared" si="0"/>
        <v>0.85978835978835977</v>
      </c>
      <c r="G40" s="127">
        <v>0.98</v>
      </c>
      <c r="H40" s="14" t="s">
        <v>45</v>
      </c>
      <c r="I40" s="260">
        <f t="shared" si="1"/>
        <v>0.85978835978835977</v>
      </c>
      <c r="J40" s="14" t="s">
        <v>46</v>
      </c>
      <c r="K40" s="47">
        <f t="shared" si="2"/>
        <v>2.0000000000000018E-2</v>
      </c>
      <c r="L40" s="14" t="s">
        <v>45</v>
      </c>
      <c r="M40" s="259">
        <f t="shared" si="3"/>
        <v>0.80877371273712739</v>
      </c>
      <c r="N40" s="14" t="s">
        <v>47</v>
      </c>
      <c r="O40" s="102">
        <f t="shared" si="4"/>
        <v>0.85876806684733509</v>
      </c>
      <c r="P40" s="57">
        <f t="shared" si="5"/>
        <v>649.22865853658527</v>
      </c>
      <c r="Q40" s="18">
        <f t="shared" si="6"/>
        <v>0.8604043751935736</v>
      </c>
      <c r="R40" s="64">
        <f t="shared" si="7"/>
        <v>650.46570764634168</v>
      </c>
      <c r="S40" s="105"/>
      <c r="T40" s="107">
        <f t="shared" si="8"/>
        <v>0.8604043751935736</v>
      </c>
      <c r="U40" s="107" t="s">
        <v>61</v>
      </c>
      <c r="V40" s="108" t="str">
        <f t="shared" si="9"/>
        <v>2015 VBT FSM RR 125 ALB</v>
      </c>
    </row>
    <row r="41" spans="1:22" s="11" customFormat="1" ht="30" x14ac:dyDescent="0.25">
      <c r="A41" s="19" t="s">
        <v>3</v>
      </c>
      <c r="B41" s="66" t="s">
        <v>38</v>
      </c>
      <c r="C41" s="50"/>
      <c r="D41" s="20">
        <f>SUM(D29:D40)</f>
        <v>5904</v>
      </c>
      <c r="E41" s="114">
        <f>SUM(E29:E40)</f>
        <v>4775</v>
      </c>
      <c r="F41" s="255">
        <f t="shared" ref="F41" si="10">E41/D41</f>
        <v>0.80877371273712739</v>
      </c>
      <c r="G41" s="136">
        <v>1</v>
      </c>
      <c r="H41" s="38"/>
      <c r="I41" s="39"/>
      <c r="J41" s="39"/>
      <c r="K41" s="40"/>
      <c r="L41" s="40"/>
      <c r="M41" s="39"/>
      <c r="N41" s="39"/>
      <c r="O41" s="61"/>
      <c r="P41" s="58">
        <f>SUM(P29:P40)</f>
        <v>4765.9189532520322</v>
      </c>
      <c r="Q41" s="21"/>
      <c r="R41" s="115">
        <f>SUM(R29:R40)</f>
        <v>4775.0000000000009</v>
      </c>
      <c r="S41" s="106"/>
      <c r="T41" s="62"/>
      <c r="U41" s="62"/>
      <c r="V41" s="65"/>
    </row>
    <row r="42" spans="1:22" x14ac:dyDescent="0.25">
      <c r="A42" s="22"/>
      <c r="B42" s="23"/>
      <c r="C42" s="23"/>
      <c r="D42" s="23"/>
      <c r="E42" s="24"/>
      <c r="F42" s="25"/>
      <c r="G42" s="25"/>
      <c r="H42" s="25"/>
      <c r="I42" s="25"/>
      <c r="J42" s="25"/>
      <c r="K42" s="25"/>
      <c r="L42" s="25"/>
      <c r="M42" s="25"/>
      <c r="N42" s="25"/>
      <c r="O42" s="25"/>
      <c r="P42" s="24"/>
      <c r="Q42" s="25"/>
      <c r="R42" s="24"/>
      <c r="S42" s="24"/>
      <c r="T42" s="24"/>
      <c r="U42" s="24"/>
      <c r="V42" s="26"/>
    </row>
    <row r="43" spans="1:22" x14ac:dyDescent="0.25">
      <c r="A43" s="27"/>
      <c r="B43" s="28"/>
      <c r="C43" s="29"/>
      <c r="D43" s="28"/>
      <c r="E43" s="30"/>
      <c r="F43" s="31"/>
      <c r="G43" s="31"/>
      <c r="H43" s="31"/>
      <c r="I43" s="31"/>
      <c r="J43" s="31"/>
      <c r="K43" s="31"/>
      <c r="L43" s="31"/>
      <c r="M43" s="31"/>
      <c r="N43" s="31"/>
      <c r="O43" s="29" t="str">
        <f>"Normalization Ratio (NR) = Actual Aggregate Claim Amount / CW Expected Aggregate Claim Amount = "&amp;E41&amp;" / "&amp;ROUND(P41,0)&amp;":"</f>
        <v>Normalization Ratio (NR) = Actual Aggregate Claim Amount / CW Expected Aggregate Claim Amount = 4775 / 4766:</v>
      </c>
      <c r="P43" s="32">
        <f>E41/P41</f>
        <v>1.0019054135911756</v>
      </c>
      <c r="Q43" s="33"/>
      <c r="R43" s="30"/>
      <c r="S43" s="30"/>
      <c r="T43" s="30"/>
      <c r="U43" s="30"/>
      <c r="V43" s="34"/>
    </row>
    <row r="44" spans="1:22" x14ac:dyDescent="0.25">
      <c r="O44" s="2"/>
    </row>
  </sheetData>
  <printOptions horizontalCentered="1"/>
  <pageMargins left="0" right="0" top="0.5" bottom="0" header="0.3" footer="0.3"/>
  <pageSetup scale="66" orientation="landscape" r:id="rId1"/>
  <ignoredErrors>
    <ignoredError sqref="A26:R26 V26"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V48"/>
  <sheetViews>
    <sheetView showGridLines="0" topLeftCell="A27" zoomScaleNormal="100" workbookViewId="0">
      <selection activeCell="R31" sqref="R31"/>
    </sheetView>
  </sheetViews>
  <sheetFormatPr defaultRowHeight="15" x14ac:dyDescent="0.25"/>
  <cols>
    <col min="1" max="1" width="11.5703125" customWidth="1"/>
    <col min="2" max="2" width="25.28515625" style="1" bestFit="1" customWidth="1"/>
    <col min="3" max="3" width="20.140625" style="1" bestFit="1" customWidth="1"/>
    <col min="4" max="4" width="18" style="1" customWidth="1"/>
    <col min="5" max="5" width="9.5703125" customWidth="1"/>
    <col min="6" max="6" width="8.7109375" style="4" bestFit="1" customWidth="1"/>
    <col min="7" max="7" width="11.28515625" style="4" customWidth="1"/>
    <col min="8" max="8" width="2.28515625" style="4" customWidth="1"/>
    <col min="9" max="9" width="7" style="4" customWidth="1"/>
    <col min="10" max="10" width="4" style="4" customWidth="1"/>
    <col min="11" max="11" width="13.85546875" style="4" customWidth="1"/>
    <col min="12" max="12" width="2.7109375" style="4" customWidth="1"/>
    <col min="13" max="13" width="9.85546875" style="4" customWidth="1"/>
    <col min="14" max="14" width="3.85546875" style="4" customWidth="1"/>
    <col min="15" max="15" width="9.42578125" style="4" customWidth="1"/>
    <col min="16" max="16" width="9.42578125" customWidth="1"/>
    <col min="17" max="17" width="8.42578125" style="4" customWidth="1"/>
    <col min="18" max="18" width="12.28515625" customWidth="1"/>
    <col min="19" max="19" width="1.28515625" customWidth="1"/>
    <col min="20" max="20" width="9.42578125" customWidth="1"/>
    <col min="21" max="21" width="2.85546875" customWidth="1"/>
    <col min="22" max="22" width="23.7109375" customWidth="1"/>
  </cols>
  <sheetData>
    <row r="1" spans="1:22" ht="18" x14ac:dyDescent="0.35">
      <c r="A1" s="118" t="s">
        <v>191</v>
      </c>
      <c r="F1" s="6"/>
      <c r="V1" s="264">
        <f>'Relativistic Method - Example 1'!$K$1</f>
        <v>43651</v>
      </c>
    </row>
    <row r="2" spans="1:22" ht="14.45" x14ac:dyDescent="0.3">
      <c r="A2" s="3"/>
      <c r="F2" s="6"/>
    </row>
    <row r="3" spans="1:22" ht="20.100000000000001" customHeight="1" x14ac:dyDescent="0.3">
      <c r="A3" s="13"/>
      <c r="F3" s="6"/>
    </row>
    <row r="4" spans="1:22" ht="20.100000000000001" customHeight="1" x14ac:dyDescent="0.3">
      <c r="A4" s="13"/>
      <c r="F4" s="6"/>
    </row>
    <row r="5" spans="1:22" ht="20.100000000000001" customHeight="1" x14ac:dyDescent="0.3">
      <c r="A5" s="13"/>
      <c r="F5" s="6"/>
    </row>
    <row r="6" spans="1:22" ht="20.100000000000001" customHeight="1" x14ac:dyDescent="0.3">
      <c r="A6" s="13"/>
      <c r="F6" s="6"/>
    </row>
    <row r="7" spans="1:22" ht="20.100000000000001" customHeight="1" x14ac:dyDescent="0.3">
      <c r="A7" s="13"/>
      <c r="F7" s="6"/>
    </row>
    <row r="8" spans="1:22" ht="20.100000000000001" customHeight="1" x14ac:dyDescent="0.3">
      <c r="A8" s="13"/>
      <c r="F8" s="6"/>
    </row>
    <row r="9" spans="1:22" ht="20.100000000000001" customHeight="1" x14ac:dyDescent="0.3">
      <c r="A9" s="13"/>
      <c r="F9" s="6"/>
    </row>
    <row r="10" spans="1:22" ht="20.100000000000001" customHeight="1" x14ac:dyDescent="0.3">
      <c r="A10" s="13"/>
      <c r="F10" s="6"/>
    </row>
    <row r="11" spans="1:22" ht="20.100000000000001" customHeight="1" x14ac:dyDescent="0.3">
      <c r="A11" s="13"/>
      <c r="F11" s="6"/>
    </row>
    <row r="12" spans="1:22" ht="20.100000000000001" customHeight="1" x14ac:dyDescent="0.3">
      <c r="A12" s="13"/>
      <c r="F12" s="6"/>
    </row>
    <row r="13" spans="1:22" ht="20.100000000000001" customHeight="1" x14ac:dyDescent="0.3">
      <c r="A13" s="13"/>
      <c r="F13" s="6"/>
    </row>
    <row r="14" spans="1:22" ht="20.100000000000001" customHeight="1" x14ac:dyDescent="0.3">
      <c r="A14" s="13"/>
      <c r="F14" s="6"/>
    </row>
    <row r="15" spans="1:22" ht="20.100000000000001" customHeight="1" x14ac:dyDescent="0.3">
      <c r="A15" s="13"/>
      <c r="F15" s="6"/>
    </row>
    <row r="16" spans="1:22" ht="20.100000000000001" customHeight="1" x14ac:dyDescent="0.3">
      <c r="A16" s="13"/>
      <c r="F16" s="6"/>
    </row>
    <row r="17" spans="1:22" ht="20.100000000000001" customHeight="1" x14ac:dyDescent="0.3">
      <c r="A17" s="13"/>
      <c r="F17" s="6"/>
    </row>
    <row r="18" spans="1:22" ht="20.100000000000001" customHeight="1" x14ac:dyDescent="0.3">
      <c r="A18" s="13"/>
      <c r="F18" s="6"/>
    </row>
    <row r="19" spans="1:22" ht="20.100000000000001" customHeight="1" x14ac:dyDescent="0.3">
      <c r="A19" s="13"/>
      <c r="F19" s="6"/>
    </row>
    <row r="20" spans="1:22" ht="20.100000000000001" customHeight="1" x14ac:dyDescent="0.3">
      <c r="A20" s="13"/>
      <c r="F20" s="6"/>
    </row>
    <row r="21" spans="1:22" ht="20.100000000000001" customHeight="1" x14ac:dyDescent="0.3">
      <c r="A21" s="3"/>
      <c r="F21" s="6"/>
    </row>
    <row r="22" spans="1:22" ht="14.45" x14ac:dyDescent="0.3">
      <c r="A22" s="95" t="s">
        <v>81</v>
      </c>
      <c r="B22" s="68"/>
      <c r="C22" s="69" t="s">
        <v>39</v>
      </c>
      <c r="D22" s="23"/>
      <c r="E22" s="24"/>
      <c r="F22" s="70"/>
      <c r="G22" s="71" t="s">
        <v>44</v>
      </c>
      <c r="H22" s="69"/>
      <c r="I22" s="69"/>
      <c r="J22" s="69"/>
      <c r="K22" s="25"/>
      <c r="L22" s="25"/>
      <c r="M22" s="25"/>
      <c r="N22" s="25"/>
      <c r="O22" s="70"/>
      <c r="P22" s="67" t="s">
        <v>64</v>
      </c>
      <c r="Q22" s="25"/>
      <c r="R22" s="72"/>
      <c r="S22" s="24"/>
      <c r="T22" s="67" t="s">
        <v>56</v>
      </c>
      <c r="U22" s="67"/>
      <c r="V22" s="72"/>
    </row>
    <row r="23" spans="1:22" ht="14.45" x14ac:dyDescent="0.3">
      <c r="A23" s="116" t="s">
        <v>80</v>
      </c>
      <c r="B23" s="8"/>
      <c r="C23" s="5"/>
      <c r="F23" s="9"/>
      <c r="G23" s="117"/>
      <c r="H23" s="5"/>
      <c r="I23" s="5"/>
      <c r="J23" s="5"/>
      <c r="O23" s="9"/>
      <c r="P23" s="3" t="s">
        <v>65</v>
      </c>
      <c r="R23" s="10"/>
      <c r="T23" s="3" t="s">
        <v>55</v>
      </c>
      <c r="U23" s="3"/>
      <c r="V23" s="10"/>
    </row>
    <row r="24" spans="1:22" ht="14.45" x14ac:dyDescent="0.3">
      <c r="A24" s="96"/>
      <c r="B24" s="8"/>
      <c r="C24" s="5"/>
      <c r="F24" s="9"/>
      <c r="G24" s="12"/>
      <c r="I24" s="5"/>
      <c r="J24" s="5"/>
      <c r="O24" s="9"/>
      <c r="P24" s="3" t="s">
        <v>66</v>
      </c>
      <c r="R24" s="10"/>
      <c r="T24" s="3"/>
      <c r="U24" s="3"/>
      <c r="V24" s="10"/>
    </row>
    <row r="25" spans="1:22" ht="14.45" x14ac:dyDescent="0.3">
      <c r="A25" s="37" t="s">
        <v>6</v>
      </c>
      <c r="B25" s="51" t="s">
        <v>7</v>
      </c>
      <c r="C25" s="42" t="s">
        <v>8</v>
      </c>
      <c r="D25" s="37" t="s">
        <v>9</v>
      </c>
      <c r="E25" s="37" t="s">
        <v>10</v>
      </c>
      <c r="F25" s="51" t="s">
        <v>11</v>
      </c>
      <c r="G25" s="42" t="s">
        <v>12</v>
      </c>
      <c r="H25" s="41"/>
      <c r="I25" s="42" t="s">
        <v>13</v>
      </c>
      <c r="J25" s="41"/>
      <c r="K25" s="42" t="s">
        <v>14</v>
      </c>
      <c r="L25" s="41"/>
      <c r="M25" s="42" t="s">
        <v>25</v>
      </c>
      <c r="N25" s="41"/>
      <c r="O25" s="59" t="s">
        <v>26</v>
      </c>
      <c r="P25" s="42" t="s">
        <v>35</v>
      </c>
      <c r="Q25" s="37" t="s">
        <v>36</v>
      </c>
      <c r="R25" s="51" t="s">
        <v>37</v>
      </c>
      <c r="S25" s="103"/>
      <c r="T25" s="103"/>
      <c r="U25" s="103"/>
      <c r="V25" s="111" t="s">
        <v>62</v>
      </c>
    </row>
    <row r="26" spans="1:22" ht="73.150000000000006" x14ac:dyDescent="0.3">
      <c r="A26" s="35"/>
      <c r="B26" s="52"/>
      <c r="C26" s="44"/>
      <c r="D26" s="36" t="s">
        <v>189</v>
      </c>
      <c r="E26" s="35"/>
      <c r="F26" s="241" t="s">
        <v>176</v>
      </c>
      <c r="G26" s="44"/>
      <c r="H26" s="43"/>
      <c r="I26" s="44"/>
      <c r="J26" s="43"/>
      <c r="K26" s="73" t="s">
        <v>48</v>
      </c>
      <c r="L26" s="43"/>
      <c r="M26" s="44"/>
      <c r="N26" s="43"/>
      <c r="O26" s="60"/>
      <c r="P26" s="56" t="s">
        <v>57</v>
      </c>
      <c r="Q26" s="36" t="s">
        <v>58</v>
      </c>
      <c r="R26" s="63" t="s">
        <v>59</v>
      </c>
      <c r="S26" s="104"/>
      <c r="T26" s="199" t="s">
        <v>175</v>
      </c>
      <c r="U26" s="112"/>
      <c r="V26" s="113"/>
    </row>
    <row r="27" spans="1:22" s="7" customFormat="1" ht="57.6" x14ac:dyDescent="0.3">
      <c r="A27" s="15" t="s">
        <v>43</v>
      </c>
      <c r="B27" s="53" t="s">
        <v>42</v>
      </c>
      <c r="C27" s="48" t="s">
        <v>139</v>
      </c>
      <c r="D27" s="16" t="s">
        <v>217</v>
      </c>
      <c r="E27" s="16" t="s">
        <v>24</v>
      </c>
      <c r="F27" s="55" t="s">
        <v>23</v>
      </c>
      <c r="G27" s="97" t="s">
        <v>2</v>
      </c>
      <c r="H27" s="98" t="s">
        <v>45</v>
      </c>
      <c r="I27" s="98" t="s">
        <v>23</v>
      </c>
      <c r="J27" s="98" t="s">
        <v>46</v>
      </c>
      <c r="K27" s="98" t="s">
        <v>40</v>
      </c>
      <c r="L27" s="98" t="s">
        <v>45</v>
      </c>
      <c r="M27" s="98" t="s">
        <v>41</v>
      </c>
      <c r="N27" s="98" t="s">
        <v>47</v>
      </c>
      <c r="O27" s="99" t="s">
        <v>52</v>
      </c>
      <c r="P27" s="45" t="s">
        <v>63</v>
      </c>
      <c r="Q27" s="16" t="s">
        <v>53</v>
      </c>
      <c r="R27" s="55" t="s">
        <v>54</v>
      </c>
      <c r="S27" s="109" t="s">
        <v>60</v>
      </c>
      <c r="T27" s="109"/>
      <c r="U27" s="109"/>
      <c r="V27" s="110"/>
    </row>
    <row r="28" spans="1:22" ht="18" customHeight="1" x14ac:dyDescent="0.3">
      <c r="A28" s="17" t="s">
        <v>0</v>
      </c>
      <c r="B28" s="163" t="s">
        <v>123</v>
      </c>
      <c r="C28" s="49" t="s">
        <v>140</v>
      </c>
      <c r="D28" s="125">
        <v>343</v>
      </c>
      <c r="E28" s="126">
        <v>300</v>
      </c>
      <c r="F28" s="252">
        <f>E28/D28</f>
        <v>0.87463556851311952</v>
      </c>
      <c r="G28" s="127">
        <v>0.32</v>
      </c>
      <c r="H28" s="14" t="s">
        <v>45</v>
      </c>
      <c r="I28" s="46">
        <f>F28</f>
        <v>0.87463556851311952</v>
      </c>
      <c r="J28" s="14" t="s">
        <v>46</v>
      </c>
      <c r="K28" s="47">
        <f>1-G28</f>
        <v>0.67999999999999994</v>
      </c>
      <c r="L28" s="14" t="s">
        <v>45</v>
      </c>
      <c r="M28" s="261">
        <f t="shared" ref="M28:M37" si="0">$F$38</f>
        <v>0.80922865013774103</v>
      </c>
      <c r="N28" s="14" t="s">
        <v>47</v>
      </c>
      <c r="O28" s="102">
        <f>(G28*I28)+(K28*M28)</f>
        <v>0.8301588640178621</v>
      </c>
      <c r="P28" s="57">
        <f>D28*O28</f>
        <v>284.74449035812671</v>
      </c>
      <c r="Q28" s="18">
        <f t="shared" ref="Q28:Q37" si="1">O28*$P$46</f>
        <v>0.83394699651768645</v>
      </c>
      <c r="R28" s="64">
        <f>D28*Q28</f>
        <v>286.04381980556644</v>
      </c>
      <c r="S28" s="105"/>
      <c r="T28" s="107">
        <f>Q28</f>
        <v>0.83394699651768645</v>
      </c>
      <c r="U28" s="107" t="s">
        <v>61</v>
      </c>
      <c r="V28" s="108" t="str">
        <f>C28&amp;" ALB"</f>
        <v>2015 VBT MNS RR 80 ALB</v>
      </c>
    </row>
    <row r="29" spans="1:22" ht="18" customHeight="1" x14ac:dyDescent="0.3">
      <c r="A29" s="17" t="s">
        <v>1</v>
      </c>
      <c r="B29" s="163" t="s">
        <v>124</v>
      </c>
      <c r="C29" s="49" t="s">
        <v>141</v>
      </c>
      <c r="D29" s="125">
        <v>510</v>
      </c>
      <c r="E29" s="126">
        <v>400</v>
      </c>
      <c r="F29" s="252">
        <f t="shared" ref="F29:F42" si="2">E29/D29</f>
        <v>0.78431372549019607</v>
      </c>
      <c r="G29" s="127">
        <v>0.79</v>
      </c>
      <c r="H29" s="14" t="s">
        <v>45</v>
      </c>
      <c r="I29" s="46">
        <f t="shared" ref="I29:I42" si="3">F29</f>
        <v>0.78431372549019607</v>
      </c>
      <c r="J29" s="14" t="s">
        <v>46</v>
      </c>
      <c r="K29" s="47">
        <f t="shared" ref="K29:K42" si="4">1-G29</f>
        <v>0.20999999999999996</v>
      </c>
      <c r="L29" s="14" t="s">
        <v>45</v>
      </c>
      <c r="M29" s="261">
        <f t="shared" si="0"/>
        <v>0.80922865013774103</v>
      </c>
      <c r="N29" s="14" t="s">
        <v>47</v>
      </c>
      <c r="O29" s="102">
        <f t="shared" ref="O29:O42" si="5">(G29*I29)+(K29*M29)</f>
        <v>0.78954585966618052</v>
      </c>
      <c r="P29" s="57">
        <f t="shared" ref="P29:P42" si="6">D29*O29</f>
        <v>402.66838842975204</v>
      </c>
      <c r="Q29" s="18">
        <f t="shared" si="1"/>
        <v>0.79314866927376282</v>
      </c>
      <c r="R29" s="64">
        <f t="shared" ref="R29:R42" si="7">D29*Q29</f>
        <v>404.50582132961904</v>
      </c>
      <c r="S29" s="105"/>
      <c r="T29" s="107">
        <f t="shared" ref="T29:T42" si="8">Q29</f>
        <v>0.79314866927376282</v>
      </c>
      <c r="U29" s="107" t="s">
        <v>61</v>
      </c>
      <c r="V29" s="108" t="str">
        <f t="shared" ref="V29:V37" si="9">C29&amp;" ALB"</f>
        <v>2015 VBT MNS RR 90 ALB</v>
      </c>
    </row>
    <row r="30" spans="1:22" ht="18" customHeight="1" x14ac:dyDescent="0.3">
      <c r="A30" s="17" t="s">
        <v>4</v>
      </c>
      <c r="B30" s="163" t="s">
        <v>125</v>
      </c>
      <c r="C30" s="49" t="s">
        <v>152</v>
      </c>
      <c r="D30" s="125">
        <v>617</v>
      </c>
      <c r="E30" s="126">
        <v>500</v>
      </c>
      <c r="F30" s="252">
        <f t="shared" si="2"/>
        <v>0.81037277147487841</v>
      </c>
      <c r="G30" s="127">
        <v>0.85</v>
      </c>
      <c r="H30" s="14" t="s">
        <v>45</v>
      </c>
      <c r="I30" s="46">
        <f t="shared" si="3"/>
        <v>0.81037277147487841</v>
      </c>
      <c r="J30" s="14" t="s">
        <v>46</v>
      </c>
      <c r="K30" s="47">
        <f t="shared" si="4"/>
        <v>0.15000000000000002</v>
      </c>
      <c r="L30" s="14" t="s">
        <v>45</v>
      </c>
      <c r="M30" s="261">
        <f t="shared" si="0"/>
        <v>0.80922865013774103</v>
      </c>
      <c r="N30" s="14" t="s">
        <v>47</v>
      </c>
      <c r="O30" s="102">
        <f t="shared" si="5"/>
        <v>0.81020115327430775</v>
      </c>
      <c r="P30" s="57">
        <f t="shared" si="6"/>
        <v>499.8941115702479</v>
      </c>
      <c r="Q30" s="18">
        <f t="shared" si="1"/>
        <v>0.8138982159127276</v>
      </c>
      <c r="R30" s="64">
        <f t="shared" si="7"/>
        <v>502.17519921815295</v>
      </c>
      <c r="S30" s="105"/>
      <c r="T30" s="107">
        <f t="shared" si="8"/>
        <v>0.8138982159127276</v>
      </c>
      <c r="U30" s="107" t="s">
        <v>61</v>
      </c>
      <c r="V30" s="108" t="str">
        <f t="shared" si="9"/>
        <v>2015 VBT MNS RR 100 ALB</v>
      </c>
    </row>
    <row r="31" spans="1:22" ht="18" customHeight="1" x14ac:dyDescent="0.3">
      <c r="A31" s="17" t="s">
        <v>5</v>
      </c>
      <c r="B31" s="163" t="s">
        <v>127</v>
      </c>
      <c r="C31" s="76" t="s">
        <v>142</v>
      </c>
      <c r="D31" s="125">
        <v>800</v>
      </c>
      <c r="E31" s="126">
        <v>600</v>
      </c>
      <c r="F31" s="252">
        <f t="shared" si="2"/>
        <v>0.75</v>
      </c>
      <c r="G31" s="127">
        <v>0.99</v>
      </c>
      <c r="H31" s="14" t="s">
        <v>45</v>
      </c>
      <c r="I31" s="46">
        <f t="shared" si="3"/>
        <v>0.75</v>
      </c>
      <c r="J31" s="14" t="s">
        <v>46</v>
      </c>
      <c r="K31" s="47">
        <f t="shared" si="4"/>
        <v>1.0000000000000009E-2</v>
      </c>
      <c r="L31" s="14" t="s">
        <v>45</v>
      </c>
      <c r="M31" s="261">
        <f t="shared" si="0"/>
        <v>0.80922865013774103</v>
      </c>
      <c r="N31" s="14" t="s">
        <v>47</v>
      </c>
      <c r="O31" s="102">
        <f t="shared" si="5"/>
        <v>0.75059228650137733</v>
      </c>
      <c r="P31" s="57">
        <f>D31*O31</f>
        <v>600.47382920110181</v>
      </c>
      <c r="Q31" s="18">
        <f t="shared" si="1"/>
        <v>0.75401734543630439</v>
      </c>
      <c r="R31" s="64">
        <f t="shared" si="7"/>
        <v>603.21387634904352</v>
      </c>
      <c r="S31" s="105"/>
      <c r="T31" s="107">
        <f t="shared" si="8"/>
        <v>0.75401734543630439</v>
      </c>
      <c r="U31" s="107" t="s">
        <v>61</v>
      </c>
      <c r="V31" s="108" t="str">
        <f t="shared" si="9"/>
        <v>2015 VBT MSM RR 75 ALB</v>
      </c>
    </row>
    <row r="32" spans="1:22" ht="18" customHeight="1" x14ac:dyDescent="0.3">
      <c r="A32" s="17" t="s">
        <v>15</v>
      </c>
      <c r="B32" s="163" t="s">
        <v>128</v>
      </c>
      <c r="C32" s="49" t="s">
        <v>143</v>
      </c>
      <c r="D32" s="125">
        <v>833</v>
      </c>
      <c r="E32" s="126">
        <v>700</v>
      </c>
      <c r="F32" s="252">
        <f t="shared" si="2"/>
        <v>0.84033613445378152</v>
      </c>
      <c r="G32" s="127">
        <v>1</v>
      </c>
      <c r="H32" s="14" t="s">
        <v>45</v>
      </c>
      <c r="I32" s="46">
        <f t="shared" si="3"/>
        <v>0.84033613445378152</v>
      </c>
      <c r="J32" s="14" t="s">
        <v>46</v>
      </c>
      <c r="K32" s="47">
        <f t="shared" si="4"/>
        <v>0</v>
      </c>
      <c r="L32" s="14" t="s">
        <v>45</v>
      </c>
      <c r="M32" s="261">
        <f t="shared" si="0"/>
        <v>0.80922865013774103</v>
      </c>
      <c r="N32" s="14" t="s">
        <v>47</v>
      </c>
      <c r="O32" s="102">
        <f t="shared" si="5"/>
        <v>0.84033613445378152</v>
      </c>
      <c r="P32" s="57">
        <f t="shared" si="6"/>
        <v>700</v>
      </c>
      <c r="Q32" s="18">
        <f t="shared" si="1"/>
        <v>0.84417070728035393</v>
      </c>
      <c r="R32" s="64">
        <f t="shared" si="7"/>
        <v>703.19419916453478</v>
      </c>
      <c r="S32" s="105"/>
      <c r="T32" s="107">
        <f t="shared" si="8"/>
        <v>0.84417070728035393</v>
      </c>
      <c r="U32" s="107" t="s">
        <v>61</v>
      </c>
      <c r="V32" s="108" t="str">
        <f t="shared" si="9"/>
        <v>2015 VBT MSM RR 125 ALB</v>
      </c>
    </row>
    <row r="33" spans="1:22" ht="18" customHeight="1" x14ac:dyDescent="0.3">
      <c r="A33" s="17" t="s">
        <v>16</v>
      </c>
      <c r="B33" s="163" t="s">
        <v>130</v>
      </c>
      <c r="C33" s="76" t="s">
        <v>144</v>
      </c>
      <c r="D33" s="125">
        <v>226</v>
      </c>
      <c r="E33" s="126">
        <v>200</v>
      </c>
      <c r="F33" s="252">
        <f t="shared" si="2"/>
        <v>0.88495575221238942</v>
      </c>
      <c r="G33" s="127">
        <v>0.23</v>
      </c>
      <c r="H33" s="14" t="s">
        <v>45</v>
      </c>
      <c r="I33" s="46">
        <f t="shared" si="3"/>
        <v>0.88495575221238942</v>
      </c>
      <c r="J33" s="14" t="s">
        <v>46</v>
      </c>
      <c r="K33" s="47">
        <f t="shared" si="4"/>
        <v>0.77</v>
      </c>
      <c r="L33" s="14" t="s">
        <v>45</v>
      </c>
      <c r="M33" s="261">
        <f t="shared" si="0"/>
        <v>0.80922865013774103</v>
      </c>
      <c r="N33" s="14" t="s">
        <v>47</v>
      </c>
      <c r="O33" s="102">
        <f t="shared" si="5"/>
        <v>0.8266458836149102</v>
      </c>
      <c r="P33" s="57">
        <f t="shared" si="6"/>
        <v>186.82196969696972</v>
      </c>
      <c r="Q33" s="18">
        <f t="shared" si="1"/>
        <v>0.83041798588749427</v>
      </c>
      <c r="R33" s="64">
        <f t="shared" si="7"/>
        <v>187.67446481057371</v>
      </c>
      <c r="S33" s="105"/>
      <c r="T33" s="107">
        <f t="shared" si="8"/>
        <v>0.83041798588749427</v>
      </c>
      <c r="U33" s="107" t="s">
        <v>61</v>
      </c>
      <c r="V33" s="108" t="str">
        <f t="shared" si="9"/>
        <v>2015 VBT FNS RR 70 ALB</v>
      </c>
    </row>
    <row r="34" spans="1:22" ht="18" customHeight="1" x14ac:dyDescent="0.3">
      <c r="A34" s="17" t="s">
        <v>17</v>
      </c>
      <c r="B34" s="163" t="s">
        <v>131</v>
      </c>
      <c r="C34" s="49" t="s">
        <v>145</v>
      </c>
      <c r="D34" s="125">
        <v>445</v>
      </c>
      <c r="E34" s="126">
        <v>350</v>
      </c>
      <c r="F34" s="252">
        <f t="shared" si="2"/>
        <v>0.7865168539325843</v>
      </c>
      <c r="G34" s="127">
        <v>0.4</v>
      </c>
      <c r="H34" s="14" t="s">
        <v>45</v>
      </c>
      <c r="I34" s="46">
        <f t="shared" si="3"/>
        <v>0.7865168539325843</v>
      </c>
      <c r="J34" s="14" t="s">
        <v>46</v>
      </c>
      <c r="K34" s="47">
        <f t="shared" si="4"/>
        <v>0.6</v>
      </c>
      <c r="L34" s="14" t="s">
        <v>45</v>
      </c>
      <c r="M34" s="261">
        <f t="shared" si="0"/>
        <v>0.80922865013774103</v>
      </c>
      <c r="N34" s="14" t="s">
        <v>47</v>
      </c>
      <c r="O34" s="102">
        <f t="shared" si="5"/>
        <v>0.80014393165567843</v>
      </c>
      <c r="P34" s="57">
        <f t="shared" si="6"/>
        <v>356.06404958677689</v>
      </c>
      <c r="Q34" s="18">
        <f t="shared" si="1"/>
        <v>0.80379510176711011</v>
      </c>
      <c r="R34" s="64">
        <f t="shared" si="7"/>
        <v>357.68882028636398</v>
      </c>
      <c r="S34" s="105"/>
      <c r="T34" s="107">
        <f t="shared" si="8"/>
        <v>0.80379510176711011</v>
      </c>
      <c r="U34" s="107" t="s">
        <v>61</v>
      </c>
      <c r="V34" s="108" t="str">
        <f t="shared" si="9"/>
        <v>2015 VBT FNS RR 80 ALB</v>
      </c>
    </row>
    <row r="35" spans="1:22" ht="18" customHeight="1" x14ac:dyDescent="0.3">
      <c r="A35" s="17" t="s">
        <v>18</v>
      </c>
      <c r="B35" s="163" t="s">
        <v>132</v>
      </c>
      <c r="C35" s="49" t="s">
        <v>151</v>
      </c>
      <c r="D35" s="125">
        <v>545</v>
      </c>
      <c r="E35" s="126">
        <v>450</v>
      </c>
      <c r="F35" s="252">
        <f t="shared" si="2"/>
        <v>0.82568807339449546</v>
      </c>
      <c r="G35" s="127">
        <v>0.47</v>
      </c>
      <c r="H35" s="14" t="s">
        <v>45</v>
      </c>
      <c r="I35" s="46">
        <f t="shared" si="3"/>
        <v>0.82568807339449546</v>
      </c>
      <c r="J35" s="14" t="s">
        <v>46</v>
      </c>
      <c r="K35" s="47">
        <f t="shared" si="4"/>
        <v>0.53</v>
      </c>
      <c r="L35" s="14" t="s">
        <v>45</v>
      </c>
      <c r="M35" s="261">
        <f t="shared" si="0"/>
        <v>0.80922865013774103</v>
      </c>
      <c r="N35" s="14" t="s">
        <v>47</v>
      </c>
      <c r="O35" s="102">
        <f t="shared" si="5"/>
        <v>0.81696457906841569</v>
      </c>
      <c r="P35" s="57">
        <f t="shared" si="6"/>
        <v>445.24569559228655</v>
      </c>
      <c r="Q35" s="18">
        <f t="shared" si="1"/>
        <v>0.82069250417686546</v>
      </c>
      <c r="R35" s="64">
        <f t="shared" si="7"/>
        <v>447.27741477639165</v>
      </c>
      <c r="S35" s="105"/>
      <c r="T35" s="107">
        <f t="shared" si="8"/>
        <v>0.82069250417686546</v>
      </c>
      <c r="U35" s="107" t="s">
        <v>61</v>
      </c>
      <c r="V35" s="108" t="str">
        <f t="shared" si="9"/>
        <v>2015 VBT FNS RR 110 ALB</v>
      </c>
    </row>
    <row r="36" spans="1:22" ht="18" customHeight="1" x14ac:dyDescent="0.3">
      <c r="A36" s="17" t="s">
        <v>19</v>
      </c>
      <c r="B36" s="163" t="s">
        <v>134</v>
      </c>
      <c r="C36" s="76" t="s">
        <v>146</v>
      </c>
      <c r="D36" s="125">
        <v>733</v>
      </c>
      <c r="E36" s="126">
        <v>550</v>
      </c>
      <c r="F36" s="252">
        <f t="shared" si="2"/>
        <v>0.75034106412005452</v>
      </c>
      <c r="G36" s="127">
        <v>0.91</v>
      </c>
      <c r="H36" s="14" t="s">
        <v>45</v>
      </c>
      <c r="I36" s="46">
        <f t="shared" si="3"/>
        <v>0.75034106412005452</v>
      </c>
      <c r="J36" s="14" t="s">
        <v>46</v>
      </c>
      <c r="K36" s="47">
        <f t="shared" si="4"/>
        <v>8.9999999999999969E-2</v>
      </c>
      <c r="L36" s="14" t="s">
        <v>45</v>
      </c>
      <c r="M36" s="261">
        <f t="shared" si="0"/>
        <v>0.80922865013774103</v>
      </c>
      <c r="N36" s="14" t="s">
        <v>47</v>
      </c>
      <c r="O36" s="102">
        <f t="shared" si="5"/>
        <v>0.7556409468616464</v>
      </c>
      <c r="P36" s="57">
        <f t="shared" si="6"/>
        <v>553.88481404958679</v>
      </c>
      <c r="Q36" s="18">
        <f t="shared" si="1"/>
        <v>0.75908904354900897</v>
      </c>
      <c r="R36" s="64">
        <f t="shared" si="7"/>
        <v>556.41226892142356</v>
      </c>
      <c r="S36" s="105"/>
      <c r="T36" s="107">
        <f t="shared" si="8"/>
        <v>0.75908904354900897</v>
      </c>
      <c r="U36" s="107" t="s">
        <v>61</v>
      </c>
      <c r="V36" s="108" t="str">
        <f t="shared" si="9"/>
        <v>2015 VBT FSM RR 75 ALB</v>
      </c>
    </row>
    <row r="37" spans="1:22" ht="18" customHeight="1" x14ac:dyDescent="0.3">
      <c r="A37" s="17" t="s">
        <v>20</v>
      </c>
      <c r="B37" s="163" t="s">
        <v>135</v>
      </c>
      <c r="C37" s="76" t="s">
        <v>150</v>
      </c>
      <c r="D37" s="125">
        <v>756</v>
      </c>
      <c r="E37" s="126">
        <v>650</v>
      </c>
      <c r="F37" s="252">
        <f t="shared" ref="F37" si="10">E37/D37</f>
        <v>0.85978835978835977</v>
      </c>
      <c r="G37" s="127">
        <v>0.97</v>
      </c>
      <c r="H37" s="14" t="s">
        <v>45</v>
      </c>
      <c r="I37" s="46">
        <f t="shared" ref="I37" si="11">F37</f>
        <v>0.85978835978835977</v>
      </c>
      <c r="J37" s="14" t="s">
        <v>46</v>
      </c>
      <c r="K37" s="47">
        <f t="shared" ref="K37" si="12">1-G37</f>
        <v>3.0000000000000027E-2</v>
      </c>
      <c r="L37" s="14" t="s">
        <v>45</v>
      </c>
      <c r="M37" s="261">
        <f t="shared" si="0"/>
        <v>0.80922865013774103</v>
      </c>
      <c r="N37" s="14" t="s">
        <v>47</v>
      </c>
      <c r="O37" s="102">
        <f t="shared" ref="O37" si="13">(G37*I37)+(K37*M37)</f>
        <v>0.85827156849884123</v>
      </c>
      <c r="P37" s="57">
        <f t="shared" ref="P37" si="14">D37*O37</f>
        <v>648.85330578512401</v>
      </c>
      <c r="Q37" s="18">
        <f t="shared" si="1"/>
        <v>0.86218798325175972</v>
      </c>
      <c r="R37" s="64">
        <f t="shared" ref="R37" si="15">D37*Q37</f>
        <v>651.81411533833034</v>
      </c>
      <c r="S37" s="105"/>
      <c r="T37" s="107">
        <f t="shared" ref="T37" si="16">Q37</f>
        <v>0.86218798325175972</v>
      </c>
      <c r="U37" s="107" t="s">
        <v>61</v>
      </c>
      <c r="V37" s="108" t="str">
        <f t="shared" si="9"/>
        <v>2015 VBT FSM RR 125 ALB</v>
      </c>
    </row>
    <row r="38" spans="1:22" s="11" customFormat="1" ht="14.45" x14ac:dyDescent="0.3">
      <c r="A38" s="19" t="s">
        <v>3</v>
      </c>
      <c r="B38" s="66" t="s">
        <v>137</v>
      </c>
      <c r="C38" s="50"/>
      <c r="D38" s="90">
        <f>SUM(D28:D30,D31:D32,D33:D35,D36:D37)</f>
        <v>5808</v>
      </c>
      <c r="E38" s="114">
        <f>SUM(E28:E30,E31:E32,E33:E35,E36:E37)</f>
        <v>4700</v>
      </c>
      <c r="F38" s="253">
        <f>E38/D38</f>
        <v>0.80922865013774103</v>
      </c>
      <c r="G38" s="136">
        <v>1</v>
      </c>
      <c r="H38" s="38"/>
      <c r="I38" s="39"/>
      <c r="J38" s="39"/>
      <c r="K38" s="40"/>
      <c r="L38" s="40"/>
      <c r="M38" s="262"/>
      <c r="N38" s="39"/>
      <c r="O38" s="61"/>
      <c r="P38" s="165">
        <f>SUM(P28:P30,P31:P32,P33:P35,P36:P37)</f>
        <v>4678.6506542699726</v>
      </c>
      <c r="Q38" s="21"/>
      <c r="R38" s="115">
        <f>SUM(R28:R30,R31:R32,R33:R35,R36:R37)</f>
        <v>4700</v>
      </c>
      <c r="S38" s="106"/>
      <c r="T38" s="62"/>
      <c r="U38" s="62"/>
      <c r="V38" s="65"/>
    </row>
    <row r="39" spans="1:22" ht="18" customHeight="1" x14ac:dyDescent="0.3">
      <c r="A39" s="17" t="s">
        <v>21</v>
      </c>
      <c r="B39" s="164" t="s">
        <v>126</v>
      </c>
      <c r="C39" s="49" t="s">
        <v>153</v>
      </c>
      <c r="D39" s="125">
        <v>580</v>
      </c>
      <c r="E39" s="126">
        <v>560</v>
      </c>
      <c r="F39" s="252">
        <f>E39/D39</f>
        <v>0.96551724137931039</v>
      </c>
      <c r="G39" s="127">
        <v>0.8</v>
      </c>
      <c r="H39" s="14" t="s">
        <v>45</v>
      </c>
      <c r="I39" s="46">
        <f>F39</f>
        <v>0.96551724137931039</v>
      </c>
      <c r="J39" s="14" t="s">
        <v>46</v>
      </c>
      <c r="K39" s="47">
        <f>1-G39</f>
        <v>0.19999999999999996</v>
      </c>
      <c r="L39" s="14" t="s">
        <v>45</v>
      </c>
      <c r="M39" s="263">
        <f>$F$43</f>
        <v>0.97679924242424243</v>
      </c>
      <c r="N39" s="14" t="s">
        <v>47</v>
      </c>
      <c r="O39" s="102">
        <f>(G39*I39)+(K39*M39)</f>
        <v>0.96777364158829682</v>
      </c>
      <c r="P39" s="57">
        <f>D39*O39</f>
        <v>561.30871212121212</v>
      </c>
      <c r="Q39" s="18">
        <f>O39*$P$47</f>
        <v>0.9711109439285931</v>
      </c>
      <c r="R39" s="64">
        <f>D39*Q39</f>
        <v>563.24434747858402</v>
      </c>
      <c r="S39" s="105"/>
      <c r="T39" s="107">
        <f>Q39</f>
        <v>0.9711109439285931</v>
      </c>
      <c r="U39" s="107" t="s">
        <v>61</v>
      </c>
      <c r="V39" s="108" t="str">
        <f>C39&amp;" ALB"</f>
        <v>2008 VBT LU MNS ALB</v>
      </c>
    </row>
    <row r="40" spans="1:22" ht="18" customHeight="1" x14ac:dyDescent="0.3">
      <c r="A40" s="17" t="s">
        <v>22</v>
      </c>
      <c r="B40" s="164" t="s">
        <v>129</v>
      </c>
      <c r="C40" s="49" t="s">
        <v>147</v>
      </c>
      <c r="D40" s="125">
        <v>425</v>
      </c>
      <c r="E40" s="126">
        <v>430</v>
      </c>
      <c r="F40" s="252">
        <f t="shared" ref="F40" si="17">E40/D40</f>
        <v>1.0117647058823529</v>
      </c>
      <c r="G40" s="127">
        <v>0.45</v>
      </c>
      <c r="H40" s="14" t="s">
        <v>45</v>
      </c>
      <c r="I40" s="46">
        <f t="shared" ref="I40" si="18">F40</f>
        <v>1.0117647058823529</v>
      </c>
      <c r="J40" s="14" t="s">
        <v>46</v>
      </c>
      <c r="K40" s="47">
        <f t="shared" ref="K40" si="19">1-G40</f>
        <v>0.55000000000000004</v>
      </c>
      <c r="L40" s="14" t="s">
        <v>45</v>
      </c>
      <c r="M40" s="263">
        <f>$F$43</f>
        <v>0.97679924242424243</v>
      </c>
      <c r="N40" s="14" t="s">
        <v>47</v>
      </c>
      <c r="O40" s="102">
        <f t="shared" ref="O40" si="20">(G40*I40)+(K40*M40)</f>
        <v>0.99253370098039206</v>
      </c>
      <c r="P40" s="57">
        <f t="shared" ref="P40" si="21">D40*O40</f>
        <v>421.82682291666663</v>
      </c>
      <c r="Q40" s="18">
        <f>O40*$P$47</f>
        <v>0.99595638672090103</v>
      </c>
      <c r="R40" s="64">
        <f>D40*Q40</f>
        <v>423.28146435638291</v>
      </c>
      <c r="S40" s="105"/>
      <c r="T40" s="107">
        <f>Q40</f>
        <v>0.99595638672090103</v>
      </c>
      <c r="U40" s="107" t="s">
        <v>61</v>
      </c>
      <c r="V40" s="108" t="str">
        <f>C40&amp;" ALB"</f>
        <v>2008 VBT LU MSM ALB</v>
      </c>
    </row>
    <row r="41" spans="1:22" ht="18" customHeight="1" x14ac:dyDescent="0.3">
      <c r="A41" s="17" t="s">
        <v>177</v>
      </c>
      <c r="B41" s="164" t="s">
        <v>133</v>
      </c>
      <c r="C41" s="49" t="s">
        <v>148</v>
      </c>
      <c r="D41" s="125">
        <v>545</v>
      </c>
      <c r="E41" s="126">
        <v>503</v>
      </c>
      <c r="F41" s="252">
        <f>E41/D41</f>
        <v>0.92293577981651376</v>
      </c>
      <c r="G41" s="127">
        <v>0.85</v>
      </c>
      <c r="H41" s="14" t="s">
        <v>45</v>
      </c>
      <c r="I41" s="46">
        <f>F41</f>
        <v>0.92293577981651376</v>
      </c>
      <c r="J41" s="14" t="s">
        <v>46</v>
      </c>
      <c r="K41" s="47">
        <f>1-G41</f>
        <v>0.15000000000000002</v>
      </c>
      <c r="L41" s="14" t="s">
        <v>45</v>
      </c>
      <c r="M41" s="263">
        <f>$F$43</f>
        <v>0.97679924242424243</v>
      </c>
      <c r="N41" s="14" t="s">
        <v>47</v>
      </c>
      <c r="O41" s="102">
        <f>(G41*I41)+(K41*M41)</f>
        <v>0.93101529920767301</v>
      </c>
      <c r="P41" s="57">
        <f>D41*O41</f>
        <v>507.40333806818177</v>
      </c>
      <c r="Q41" s="18">
        <f>O41*$P$47</f>
        <v>0.93422584287550636</v>
      </c>
      <c r="R41" s="64">
        <f>D41*Q41</f>
        <v>509.153084367151</v>
      </c>
      <c r="S41" s="105"/>
      <c r="T41" s="107">
        <f>Q41</f>
        <v>0.93422584287550636</v>
      </c>
      <c r="U41" s="107" t="s">
        <v>61</v>
      </c>
      <c r="V41" s="108" t="str">
        <f>C41&amp;" ALB"</f>
        <v>2008 VBT LU FNS ALB</v>
      </c>
    </row>
    <row r="42" spans="1:22" ht="18" customHeight="1" x14ac:dyDescent="0.3">
      <c r="A42" s="17" t="s">
        <v>178</v>
      </c>
      <c r="B42" s="164" t="s">
        <v>136</v>
      </c>
      <c r="C42" s="49" t="s">
        <v>149</v>
      </c>
      <c r="D42" s="125">
        <v>562</v>
      </c>
      <c r="E42" s="126">
        <v>570</v>
      </c>
      <c r="F42" s="252">
        <f t="shared" si="2"/>
        <v>1.0142348754448398</v>
      </c>
      <c r="G42" s="127">
        <v>0.78</v>
      </c>
      <c r="H42" s="14" t="s">
        <v>45</v>
      </c>
      <c r="I42" s="46">
        <f t="shared" si="3"/>
        <v>1.0142348754448398</v>
      </c>
      <c r="J42" s="14" t="s">
        <v>46</v>
      </c>
      <c r="K42" s="47">
        <f t="shared" si="4"/>
        <v>0.21999999999999997</v>
      </c>
      <c r="L42" s="14" t="s">
        <v>45</v>
      </c>
      <c r="M42" s="263">
        <f>$F$43</f>
        <v>0.97679924242424243</v>
      </c>
      <c r="N42" s="14" t="s">
        <v>47</v>
      </c>
      <c r="O42" s="102">
        <f t="shared" si="5"/>
        <v>1.0059990361803084</v>
      </c>
      <c r="P42" s="57">
        <f t="shared" si="6"/>
        <v>565.37145833333329</v>
      </c>
      <c r="Q42" s="18">
        <f>O42*$P$47</f>
        <v>1.0094681562239896</v>
      </c>
      <c r="R42" s="64">
        <f t="shared" si="7"/>
        <v>567.32110379788207</v>
      </c>
      <c r="S42" s="105"/>
      <c r="T42" s="107">
        <f t="shared" si="8"/>
        <v>1.0094681562239896</v>
      </c>
      <c r="U42" s="107" t="s">
        <v>61</v>
      </c>
      <c r="V42" s="108" t="str">
        <f>C42</f>
        <v>2008 VBT LU FSM</v>
      </c>
    </row>
    <row r="43" spans="1:22" s="11" customFormat="1" ht="14.45" x14ac:dyDescent="0.3">
      <c r="A43" s="19" t="s">
        <v>3</v>
      </c>
      <c r="B43" s="66" t="s">
        <v>138</v>
      </c>
      <c r="C43" s="50"/>
      <c r="D43" s="90">
        <f>SUM(D39,D40,D41,D42)</f>
        <v>2112</v>
      </c>
      <c r="E43" s="114">
        <f>SUM(E39,E40,E41,E42)</f>
        <v>2063</v>
      </c>
      <c r="F43" s="254">
        <f t="shared" ref="F43" si="22">E43/D43</f>
        <v>0.97679924242424243</v>
      </c>
      <c r="G43" s="136">
        <v>0.75</v>
      </c>
      <c r="H43" s="38"/>
      <c r="I43" s="39"/>
      <c r="J43" s="39"/>
      <c r="K43" s="40"/>
      <c r="L43" s="40"/>
      <c r="M43" s="39"/>
      <c r="N43" s="39"/>
      <c r="O43" s="61"/>
      <c r="P43" s="165">
        <f>SUM(P39,P40,P41,P42)</f>
        <v>2055.9103314393938</v>
      </c>
      <c r="Q43" s="21"/>
      <c r="R43" s="115">
        <f>SUM(R39,R40,R41,R42)</f>
        <v>2063</v>
      </c>
      <c r="S43" s="106"/>
      <c r="T43" s="62"/>
      <c r="U43" s="62"/>
      <c r="V43" s="65"/>
    </row>
    <row r="44" spans="1:22" s="11" customFormat="1" ht="14.45" x14ac:dyDescent="0.3">
      <c r="A44" s="167"/>
      <c r="B44" s="168"/>
      <c r="C44" s="168"/>
      <c r="D44" s="169"/>
      <c r="E44" s="170"/>
      <c r="F44" s="171"/>
      <c r="G44" s="172"/>
      <c r="H44" s="172"/>
      <c r="I44" s="172"/>
      <c r="J44" s="172"/>
      <c r="K44" s="173"/>
      <c r="L44" s="173"/>
      <c r="M44" s="172"/>
      <c r="N44" s="172"/>
      <c r="O44" s="174"/>
      <c r="P44" s="175"/>
      <c r="Q44" s="176"/>
      <c r="R44" s="170"/>
      <c r="S44" s="170"/>
      <c r="T44" s="177"/>
      <c r="U44" s="177"/>
      <c r="V44" s="161"/>
    </row>
    <row r="45" spans="1:22" s="11" customFormat="1" x14ac:dyDescent="0.25">
      <c r="B45" s="178"/>
      <c r="C45" s="178"/>
      <c r="D45" s="169"/>
      <c r="E45" s="179"/>
      <c r="F45" s="180"/>
      <c r="G45" s="181"/>
      <c r="H45" s="181"/>
      <c r="I45" s="181"/>
      <c r="J45" s="181"/>
      <c r="K45" s="182"/>
      <c r="L45" s="182"/>
      <c r="M45" s="181"/>
      <c r="N45" s="181"/>
      <c r="O45" s="183"/>
      <c r="P45" s="175"/>
      <c r="Q45" s="184"/>
      <c r="R45" s="179"/>
      <c r="S45" s="179"/>
      <c r="V45" s="161"/>
    </row>
    <row r="46" spans="1:22" x14ac:dyDescent="0.25">
      <c r="A46" s="160"/>
      <c r="O46" s="158" t="str">
        <f>"FUW Normalization Ratio (NR) = Actual Aggregate Claim Amount / RB Expected Aggregate Claim Amount = "&amp;ROUND(E38,0)&amp;" / "&amp;ROUND(P38,0)&amp;":"</f>
        <v>FUW Normalization Ratio (NR) = Actual Aggregate Claim Amount / RB Expected Aggregate Claim Amount = 4700 / 4679:</v>
      </c>
      <c r="P46" s="3">
        <f>E38/P38</f>
        <v>1.0045631416636212</v>
      </c>
      <c r="V46" s="161"/>
    </row>
    <row r="47" spans="1:22" x14ac:dyDescent="0.25">
      <c r="A47" s="27"/>
      <c r="B47" s="28"/>
      <c r="C47" s="29"/>
      <c r="D47" s="28"/>
      <c r="E47" s="30"/>
      <c r="F47" s="31"/>
      <c r="G47" s="31"/>
      <c r="H47" s="31"/>
      <c r="I47" s="31"/>
      <c r="J47" s="31"/>
      <c r="K47" s="31"/>
      <c r="L47" s="31"/>
      <c r="M47" s="31"/>
      <c r="N47" s="31"/>
      <c r="O47" s="29" t="str">
        <f>"SI Normalization Ratio (NR) = Actual Aggregate Claim Amount / RB Expected Aggregate Claim Amount = "&amp;ROUND(E43,0)&amp;" / "&amp;ROUND(P43,0)&amp;":"</f>
        <v>SI Normalization Ratio (NR) = Actual Aggregate Claim Amount / RB Expected Aggregate Claim Amount = 2063 / 2056:</v>
      </c>
      <c r="P47" s="32">
        <f>E43/P43</f>
        <v>1.0034484327707243</v>
      </c>
      <c r="Q47" s="33"/>
      <c r="R47" s="30"/>
      <c r="S47" s="30"/>
      <c r="T47" s="30"/>
      <c r="U47" s="30"/>
      <c r="V47" s="34"/>
    </row>
    <row r="48" spans="1:22" x14ac:dyDescent="0.25">
      <c r="O48" s="2"/>
    </row>
  </sheetData>
  <printOptions horizontalCentered="1"/>
  <pageMargins left="0" right="0" top="0.5" bottom="0" header="0.3" footer="0.3"/>
  <pageSetup scale="6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46"/>
  <sheetViews>
    <sheetView showGridLines="0" topLeftCell="A19" zoomScaleNormal="100" workbookViewId="0"/>
  </sheetViews>
  <sheetFormatPr defaultRowHeight="15" x14ac:dyDescent="0.25"/>
  <cols>
    <col min="1" max="1" width="11.5703125" customWidth="1"/>
    <col min="2" max="2" width="19.85546875" style="1" customWidth="1"/>
    <col min="3" max="3" width="12.85546875" style="1" customWidth="1"/>
    <col min="4" max="4" width="18" style="1" customWidth="1"/>
    <col min="5" max="5" width="9.5703125" customWidth="1"/>
    <col min="6" max="6" width="7" style="4" customWidth="1"/>
    <col min="7" max="7" width="11.28515625" style="4" customWidth="1"/>
    <col min="8" max="8" width="2.28515625" style="4" customWidth="1"/>
    <col min="9" max="9" width="7" style="4" customWidth="1"/>
    <col min="10" max="10" width="4" style="4" customWidth="1"/>
    <col min="11" max="11" width="13.85546875" style="4" customWidth="1"/>
    <col min="12" max="12" width="2.7109375" style="4" customWidth="1"/>
    <col min="13" max="13" width="9.85546875" style="4" customWidth="1"/>
    <col min="14" max="14" width="3.85546875" style="4" customWidth="1"/>
    <col min="15" max="15" width="9.42578125" style="4" customWidth="1"/>
    <col min="16" max="16" width="9.42578125" customWidth="1"/>
    <col min="17" max="17" width="8.42578125" style="4" customWidth="1"/>
    <col min="18" max="18" width="12.28515625" customWidth="1"/>
    <col min="19" max="19" width="1.28515625" customWidth="1"/>
    <col min="20" max="20" width="6.42578125" customWidth="1"/>
    <col min="21" max="21" width="2.85546875" customWidth="1"/>
    <col min="22" max="22" width="23.7109375" customWidth="1"/>
  </cols>
  <sheetData>
    <row r="1" spans="1:22" ht="18.75" x14ac:dyDescent="0.3">
      <c r="A1" s="118" t="s">
        <v>192</v>
      </c>
      <c r="F1" s="6"/>
      <c r="V1" s="264">
        <f>'Relativistic Method - Example 1'!$K$1</f>
        <v>43651</v>
      </c>
    </row>
    <row r="2" spans="1:22" ht="14.45" x14ac:dyDescent="0.3">
      <c r="A2" s="3"/>
      <c r="F2" s="6"/>
    </row>
    <row r="3" spans="1:22" ht="20.100000000000001" customHeight="1" x14ac:dyDescent="0.3">
      <c r="A3" s="13"/>
      <c r="F3" s="6"/>
    </row>
    <row r="4" spans="1:22" ht="20.100000000000001" customHeight="1" x14ac:dyDescent="0.3">
      <c r="A4" s="13"/>
      <c r="F4" s="6"/>
    </row>
    <row r="5" spans="1:22" ht="20.100000000000001" customHeight="1" x14ac:dyDescent="0.3">
      <c r="A5" s="13"/>
      <c r="F5" s="6"/>
    </row>
    <row r="6" spans="1:22" ht="20.100000000000001" customHeight="1" x14ac:dyDescent="0.3">
      <c r="A6" s="13"/>
      <c r="F6" s="6"/>
    </row>
    <row r="7" spans="1:22" ht="20.100000000000001" customHeight="1" x14ac:dyDescent="0.3">
      <c r="A7" s="13"/>
      <c r="F7" s="6"/>
    </row>
    <row r="8" spans="1:22" ht="20.100000000000001" customHeight="1" x14ac:dyDescent="0.3">
      <c r="A8" s="13"/>
      <c r="F8" s="6"/>
    </row>
    <row r="9" spans="1:22" ht="20.100000000000001" customHeight="1" x14ac:dyDescent="0.3">
      <c r="A9" s="13"/>
      <c r="F9" s="6"/>
    </row>
    <row r="10" spans="1:22" ht="20.100000000000001" customHeight="1" x14ac:dyDescent="0.3">
      <c r="A10" s="13"/>
      <c r="F10" s="6"/>
    </row>
    <row r="11" spans="1:22" ht="20.100000000000001" customHeight="1" x14ac:dyDescent="0.3">
      <c r="A11" s="13"/>
      <c r="F11" s="6"/>
    </row>
    <row r="12" spans="1:22" ht="20.100000000000001" customHeight="1" x14ac:dyDescent="0.3">
      <c r="A12" s="13"/>
      <c r="F12" s="6"/>
    </row>
    <row r="13" spans="1:22" ht="20.100000000000001" customHeight="1" x14ac:dyDescent="0.3">
      <c r="A13" s="13"/>
      <c r="F13" s="6"/>
    </row>
    <row r="14" spans="1:22" ht="20.100000000000001" customHeight="1" x14ac:dyDescent="0.3">
      <c r="A14" s="13"/>
      <c r="F14" s="6"/>
    </row>
    <row r="15" spans="1:22" ht="20.100000000000001" customHeight="1" x14ac:dyDescent="0.3">
      <c r="A15" s="13"/>
      <c r="F15" s="6"/>
    </row>
    <row r="16" spans="1:22" ht="20.100000000000001" customHeight="1" x14ac:dyDescent="0.3">
      <c r="A16" s="13"/>
      <c r="F16" s="6"/>
    </row>
    <row r="17" spans="1:22" ht="20.100000000000001" customHeight="1" x14ac:dyDescent="0.3">
      <c r="A17" s="13"/>
      <c r="F17" s="6"/>
    </row>
    <row r="18" spans="1:22" ht="20.100000000000001" customHeight="1" x14ac:dyDescent="0.3">
      <c r="A18" s="13"/>
      <c r="F18" s="6"/>
    </row>
    <row r="19" spans="1:22" ht="20.100000000000001" customHeight="1" x14ac:dyDescent="0.3">
      <c r="A19" s="13"/>
      <c r="F19" s="6"/>
    </row>
    <row r="20" spans="1:22" ht="20.100000000000001" customHeight="1" x14ac:dyDescent="0.3">
      <c r="A20" s="13"/>
      <c r="F20" s="6"/>
    </row>
    <row r="21" spans="1:22" ht="20.100000000000001" customHeight="1" x14ac:dyDescent="0.3">
      <c r="A21" s="13"/>
      <c r="F21" s="6"/>
    </row>
    <row r="22" spans="1:22" ht="20.100000000000001" customHeight="1" x14ac:dyDescent="0.3">
      <c r="A22" s="13"/>
      <c r="F22" s="6"/>
    </row>
    <row r="23" spans="1:22" ht="20.100000000000001" customHeight="1" x14ac:dyDescent="0.3">
      <c r="A23" s="13"/>
      <c r="F23" s="6"/>
    </row>
    <row r="24" spans="1:22" ht="20.100000000000001" customHeight="1" x14ac:dyDescent="0.3">
      <c r="A24" s="3"/>
      <c r="F24" s="6"/>
    </row>
    <row r="25" spans="1:22" ht="14.45" x14ac:dyDescent="0.3">
      <c r="A25" s="95" t="s">
        <v>81</v>
      </c>
      <c r="B25" s="68"/>
      <c r="C25" s="69" t="s">
        <v>39</v>
      </c>
      <c r="D25" s="23"/>
      <c r="E25" s="24"/>
      <c r="F25" s="70"/>
      <c r="G25" s="71" t="s">
        <v>44</v>
      </c>
      <c r="H25" s="69"/>
      <c r="I25" s="69"/>
      <c r="J25" s="69"/>
      <c r="K25" s="25"/>
      <c r="L25" s="25"/>
      <c r="M25" s="25"/>
      <c r="N25" s="25"/>
      <c r="O25" s="70"/>
      <c r="P25" s="67" t="s">
        <v>64</v>
      </c>
      <c r="Q25" s="25"/>
      <c r="R25" s="72"/>
      <c r="S25" s="24"/>
      <c r="T25" s="67" t="s">
        <v>56</v>
      </c>
      <c r="U25" s="67"/>
      <c r="V25" s="72"/>
    </row>
    <row r="26" spans="1:22" ht="14.45" x14ac:dyDescent="0.3">
      <c r="A26" s="116" t="s">
        <v>80</v>
      </c>
      <c r="B26" s="8"/>
      <c r="C26" s="5"/>
      <c r="F26" s="9"/>
      <c r="G26" s="117"/>
      <c r="H26" s="5"/>
      <c r="I26" s="5"/>
      <c r="J26" s="5"/>
      <c r="O26" s="9"/>
      <c r="P26" s="3" t="s">
        <v>65</v>
      </c>
      <c r="R26" s="10"/>
      <c r="T26" s="3" t="s">
        <v>55</v>
      </c>
      <c r="U26" s="3"/>
      <c r="V26" s="10"/>
    </row>
    <row r="27" spans="1:22" ht="14.45" x14ac:dyDescent="0.3">
      <c r="A27" s="96"/>
      <c r="B27" s="8"/>
      <c r="C27" s="5"/>
      <c r="F27" s="9"/>
      <c r="G27" s="12"/>
      <c r="I27" s="5"/>
      <c r="J27" s="5"/>
      <c r="O27" s="9"/>
      <c r="P27" s="3" t="s">
        <v>66</v>
      </c>
      <c r="R27" s="10"/>
      <c r="T27" s="3"/>
      <c r="U27" s="3"/>
      <c r="V27" s="10"/>
    </row>
    <row r="28" spans="1:22" ht="14.45" x14ac:dyDescent="0.3">
      <c r="A28" s="37" t="s">
        <v>6</v>
      </c>
      <c r="B28" s="51" t="s">
        <v>7</v>
      </c>
      <c r="C28" s="42" t="s">
        <v>8</v>
      </c>
      <c r="D28" s="37" t="s">
        <v>9</v>
      </c>
      <c r="E28" s="37" t="s">
        <v>10</v>
      </c>
      <c r="F28" s="51" t="s">
        <v>11</v>
      </c>
      <c r="G28" s="42" t="s">
        <v>12</v>
      </c>
      <c r="H28" s="41"/>
      <c r="I28" s="42" t="s">
        <v>13</v>
      </c>
      <c r="J28" s="41"/>
      <c r="K28" s="42" t="s">
        <v>14</v>
      </c>
      <c r="L28" s="41"/>
      <c r="M28" s="42" t="s">
        <v>25</v>
      </c>
      <c r="N28" s="41"/>
      <c r="O28" s="59" t="s">
        <v>26</v>
      </c>
      <c r="P28" s="42" t="s">
        <v>35</v>
      </c>
      <c r="Q28" s="37" t="s">
        <v>36</v>
      </c>
      <c r="R28" s="51" t="s">
        <v>37</v>
      </c>
      <c r="S28" s="103"/>
      <c r="T28" s="103"/>
      <c r="U28" s="103"/>
      <c r="V28" s="111" t="s">
        <v>62</v>
      </c>
    </row>
    <row r="29" spans="1:22" ht="78" x14ac:dyDescent="0.25">
      <c r="A29" s="35"/>
      <c r="B29" s="52"/>
      <c r="C29" s="44"/>
      <c r="D29" s="36" t="s">
        <v>189</v>
      </c>
      <c r="E29" s="35"/>
      <c r="F29" s="241" t="s">
        <v>176</v>
      </c>
      <c r="G29" s="44"/>
      <c r="H29" s="43"/>
      <c r="I29" s="44"/>
      <c r="J29" s="43"/>
      <c r="K29" s="73" t="s">
        <v>48</v>
      </c>
      <c r="L29" s="43"/>
      <c r="M29" s="44"/>
      <c r="N29" s="43"/>
      <c r="O29" s="60"/>
      <c r="P29" s="56" t="s">
        <v>57</v>
      </c>
      <c r="Q29" s="36" t="s">
        <v>58</v>
      </c>
      <c r="R29" s="63" t="s">
        <v>59</v>
      </c>
      <c r="S29" s="104"/>
      <c r="T29" s="199" t="s">
        <v>175</v>
      </c>
      <c r="U29" s="112"/>
      <c r="V29" s="113"/>
    </row>
    <row r="30" spans="1:22" s="7" customFormat="1" ht="60" x14ac:dyDescent="0.25">
      <c r="A30" s="15" t="s">
        <v>43</v>
      </c>
      <c r="B30" s="53" t="s">
        <v>42</v>
      </c>
      <c r="C30" s="48" t="s">
        <v>90</v>
      </c>
      <c r="D30" s="16" t="s">
        <v>217</v>
      </c>
      <c r="E30" s="16" t="s">
        <v>24</v>
      </c>
      <c r="F30" s="55" t="s">
        <v>23</v>
      </c>
      <c r="G30" s="97" t="s">
        <v>2</v>
      </c>
      <c r="H30" s="98" t="s">
        <v>45</v>
      </c>
      <c r="I30" s="98" t="s">
        <v>23</v>
      </c>
      <c r="J30" s="98" t="s">
        <v>46</v>
      </c>
      <c r="K30" s="98" t="s">
        <v>40</v>
      </c>
      <c r="L30" s="98" t="s">
        <v>45</v>
      </c>
      <c r="M30" s="98" t="s">
        <v>184</v>
      </c>
      <c r="N30" s="98" t="s">
        <v>47</v>
      </c>
      <c r="O30" s="99" t="s">
        <v>52</v>
      </c>
      <c r="P30" s="45" t="s">
        <v>63</v>
      </c>
      <c r="Q30" s="16" t="s">
        <v>53</v>
      </c>
      <c r="R30" s="55" t="s">
        <v>54</v>
      </c>
      <c r="S30" s="109" t="s">
        <v>60</v>
      </c>
      <c r="T30" s="109"/>
      <c r="U30" s="109"/>
      <c r="V30" s="110"/>
    </row>
    <row r="31" spans="1:22" ht="18" customHeight="1" x14ac:dyDescent="0.25">
      <c r="A31" s="17" t="s">
        <v>0</v>
      </c>
      <c r="B31" s="54" t="s">
        <v>27</v>
      </c>
      <c r="C31" s="49" t="s">
        <v>68</v>
      </c>
      <c r="D31" s="125">
        <v>64</v>
      </c>
      <c r="E31" s="126">
        <v>50</v>
      </c>
      <c r="F31" s="252">
        <f>E31/D31</f>
        <v>0.78125</v>
      </c>
      <c r="G31" s="127">
        <v>0.15</v>
      </c>
      <c r="H31" s="14" t="s">
        <v>45</v>
      </c>
      <c r="I31" s="46">
        <f>F31</f>
        <v>0.78125</v>
      </c>
      <c r="J31" s="14" t="s">
        <v>46</v>
      </c>
      <c r="K31" s="47">
        <f>1-G31</f>
        <v>0.85</v>
      </c>
      <c r="L31" s="14" t="s">
        <v>45</v>
      </c>
      <c r="M31" s="248">
        <v>0.5</v>
      </c>
      <c r="N31" s="14" t="s">
        <v>47</v>
      </c>
      <c r="O31" s="102">
        <f>(G31*I31)+(K31*M31)</f>
        <v>0.54218750000000004</v>
      </c>
      <c r="P31" s="57">
        <f>D31*O31</f>
        <v>34.700000000000003</v>
      </c>
      <c r="Q31" s="18">
        <f>O31*$P$45</f>
        <v>0.57876547822374058</v>
      </c>
      <c r="R31" s="64">
        <f>D31*Q31</f>
        <v>37.040990606319397</v>
      </c>
      <c r="S31" s="105"/>
      <c r="T31" s="107">
        <f>Q31</f>
        <v>0.57876547822374058</v>
      </c>
      <c r="U31" s="107" t="s">
        <v>61</v>
      </c>
      <c r="V31" s="108" t="str">
        <f>"2015 VBT "&amp;C31&amp;" ALB"</f>
        <v>2015 VBT MNS RR 70 ALB</v>
      </c>
    </row>
    <row r="32" spans="1:22" ht="18" customHeight="1" x14ac:dyDescent="0.25">
      <c r="A32" s="17" t="s">
        <v>1</v>
      </c>
      <c r="B32" s="54" t="s">
        <v>28</v>
      </c>
      <c r="C32" s="49" t="s">
        <v>69</v>
      </c>
      <c r="D32" s="125">
        <v>343</v>
      </c>
      <c r="E32" s="126">
        <v>300</v>
      </c>
      <c r="F32" s="252">
        <f t="shared" ref="F32:F43" si="0">E32/D32</f>
        <v>0.87463556851311952</v>
      </c>
      <c r="G32" s="127">
        <v>0.62</v>
      </c>
      <c r="H32" s="14" t="s">
        <v>45</v>
      </c>
      <c r="I32" s="46">
        <f t="shared" ref="I32:I42" si="1">F32</f>
        <v>0.87463556851311952</v>
      </c>
      <c r="J32" s="14" t="s">
        <v>46</v>
      </c>
      <c r="K32" s="47">
        <f t="shared" ref="K32:K42" si="2">1-G32</f>
        <v>0.38</v>
      </c>
      <c r="L32" s="14" t="s">
        <v>45</v>
      </c>
      <c r="M32" s="248">
        <v>0.5</v>
      </c>
      <c r="N32" s="14" t="s">
        <v>47</v>
      </c>
      <c r="O32" s="102">
        <f t="shared" ref="O32:O42" si="3">(G32*I32)+(K32*M32)</f>
        <v>0.73227405247813415</v>
      </c>
      <c r="P32" s="57">
        <f t="shared" ref="P32:P42" si="4">D32*O32</f>
        <v>251.17000000000002</v>
      </c>
      <c r="Q32" s="18">
        <f t="shared" ref="Q32:Q42" si="5">O32*$P$45</f>
        <v>0.78167597403729105</v>
      </c>
      <c r="R32" s="64">
        <f t="shared" ref="R32:R42" si="6">D32*Q32</f>
        <v>268.11485909479086</v>
      </c>
      <c r="S32" s="105"/>
      <c r="T32" s="107">
        <f t="shared" ref="T32:T42" si="7">Q32</f>
        <v>0.78167597403729105</v>
      </c>
      <c r="U32" s="107" t="s">
        <v>61</v>
      </c>
      <c r="V32" s="108" t="str">
        <f t="shared" ref="V32:V42" si="8">"2015 VBT "&amp;C32&amp;" ALB"</f>
        <v>2015 VBT MNS RR 80 ALB</v>
      </c>
    </row>
    <row r="33" spans="1:22" ht="18" customHeight="1" x14ac:dyDescent="0.25">
      <c r="A33" s="17" t="s">
        <v>4</v>
      </c>
      <c r="B33" s="54" t="s">
        <v>29</v>
      </c>
      <c r="C33" s="49" t="s">
        <v>70</v>
      </c>
      <c r="D33" s="125">
        <v>510</v>
      </c>
      <c r="E33" s="126">
        <v>400</v>
      </c>
      <c r="F33" s="252">
        <f t="shared" si="0"/>
        <v>0.78431372549019607</v>
      </c>
      <c r="G33" s="127">
        <v>0.78</v>
      </c>
      <c r="H33" s="14" t="s">
        <v>45</v>
      </c>
      <c r="I33" s="46">
        <f t="shared" si="1"/>
        <v>0.78431372549019607</v>
      </c>
      <c r="J33" s="14" t="s">
        <v>46</v>
      </c>
      <c r="K33" s="47">
        <f t="shared" si="2"/>
        <v>0.21999999999999997</v>
      </c>
      <c r="L33" s="14" t="s">
        <v>45</v>
      </c>
      <c r="M33" s="248">
        <v>0.5</v>
      </c>
      <c r="N33" s="14" t="s">
        <v>47</v>
      </c>
      <c r="O33" s="102">
        <f t="shared" si="3"/>
        <v>0.72176470588235297</v>
      </c>
      <c r="P33" s="57">
        <f t="shared" si="4"/>
        <v>368.1</v>
      </c>
      <c r="Q33" s="18">
        <f t="shared" si="5"/>
        <v>0.7704576279700609</v>
      </c>
      <c r="R33" s="64">
        <f t="shared" si="6"/>
        <v>392.93339026473103</v>
      </c>
      <c r="S33" s="105"/>
      <c r="T33" s="107">
        <f>Q33</f>
        <v>0.7704576279700609</v>
      </c>
      <c r="U33" s="107" t="s">
        <v>61</v>
      </c>
      <c r="V33" s="108" t="str">
        <f t="shared" si="8"/>
        <v>2015 VBT MNS RR 90 ALB</v>
      </c>
    </row>
    <row r="34" spans="1:22" ht="18" customHeight="1" x14ac:dyDescent="0.25">
      <c r="A34" s="17" t="s">
        <v>5</v>
      </c>
      <c r="B34" s="54" t="s">
        <v>114</v>
      </c>
      <c r="C34" s="49" t="s">
        <v>71</v>
      </c>
      <c r="D34" s="125">
        <v>617</v>
      </c>
      <c r="E34" s="126">
        <v>500</v>
      </c>
      <c r="F34" s="252">
        <f t="shared" si="0"/>
        <v>0.81037277147487841</v>
      </c>
      <c r="G34" s="127">
        <v>0.89</v>
      </c>
      <c r="H34" s="14" t="s">
        <v>45</v>
      </c>
      <c r="I34" s="46">
        <f t="shared" si="1"/>
        <v>0.81037277147487841</v>
      </c>
      <c r="J34" s="14" t="s">
        <v>46</v>
      </c>
      <c r="K34" s="47">
        <f t="shared" si="2"/>
        <v>0.10999999999999999</v>
      </c>
      <c r="L34" s="14" t="s">
        <v>45</v>
      </c>
      <c r="M34" s="248">
        <v>0.5</v>
      </c>
      <c r="N34" s="14" t="s">
        <v>47</v>
      </c>
      <c r="O34" s="102">
        <f t="shared" si="3"/>
        <v>0.7762317666126417</v>
      </c>
      <c r="P34" s="57">
        <f t="shared" si="4"/>
        <v>478.93499999999995</v>
      </c>
      <c r="Q34" s="18">
        <f t="shared" si="5"/>
        <v>0.8285992384848867</v>
      </c>
      <c r="R34" s="64">
        <f>D34*Q34</f>
        <v>511.24573014517512</v>
      </c>
      <c r="S34" s="105"/>
      <c r="T34" s="107">
        <f t="shared" si="7"/>
        <v>0.8285992384848867</v>
      </c>
      <c r="U34" s="107" t="s">
        <v>61</v>
      </c>
      <c r="V34" s="108" t="str">
        <f t="shared" si="8"/>
        <v>2015 VBT MNS RR 110 ALB</v>
      </c>
    </row>
    <row r="35" spans="1:22" ht="18" customHeight="1" x14ac:dyDescent="0.25">
      <c r="A35" s="17" t="s">
        <v>15</v>
      </c>
      <c r="B35" s="54" t="s">
        <v>30</v>
      </c>
      <c r="C35" s="76" t="s">
        <v>72</v>
      </c>
      <c r="D35" s="125">
        <v>800</v>
      </c>
      <c r="E35" s="126">
        <v>600</v>
      </c>
      <c r="F35" s="252">
        <f t="shared" si="0"/>
        <v>0.75</v>
      </c>
      <c r="G35" s="127">
        <v>0.95</v>
      </c>
      <c r="H35" s="14" t="s">
        <v>45</v>
      </c>
      <c r="I35" s="46">
        <f t="shared" si="1"/>
        <v>0.75</v>
      </c>
      <c r="J35" s="14" t="s">
        <v>46</v>
      </c>
      <c r="K35" s="47">
        <f t="shared" si="2"/>
        <v>5.0000000000000044E-2</v>
      </c>
      <c r="L35" s="14" t="s">
        <v>45</v>
      </c>
      <c r="M35" s="248">
        <v>0.5</v>
      </c>
      <c r="N35" s="14" t="s">
        <v>47</v>
      </c>
      <c r="O35" s="102">
        <f t="shared" si="3"/>
        <v>0.73749999999999993</v>
      </c>
      <c r="P35" s="57">
        <f>D35*O35</f>
        <v>590</v>
      </c>
      <c r="Q35" s="18">
        <f t="shared" si="5"/>
        <v>0.7872544833475662</v>
      </c>
      <c r="R35" s="64">
        <f t="shared" si="6"/>
        <v>629.80358667805297</v>
      </c>
      <c r="S35" s="105"/>
      <c r="T35" s="107">
        <f t="shared" si="7"/>
        <v>0.7872544833475662</v>
      </c>
      <c r="U35" s="107" t="s">
        <v>61</v>
      </c>
      <c r="V35" s="108" t="str">
        <f t="shared" si="8"/>
        <v>2015 VBT MSM RR 75 ALB</v>
      </c>
    </row>
    <row r="36" spans="1:22" ht="18" customHeight="1" x14ac:dyDescent="0.25">
      <c r="A36" s="17" t="s">
        <v>16</v>
      </c>
      <c r="B36" s="54" t="s">
        <v>115</v>
      </c>
      <c r="C36" s="49" t="s">
        <v>73</v>
      </c>
      <c r="D36" s="125">
        <v>833</v>
      </c>
      <c r="E36" s="126">
        <v>700</v>
      </c>
      <c r="F36" s="252">
        <f t="shared" si="0"/>
        <v>0.84033613445378152</v>
      </c>
      <c r="G36" s="127">
        <v>1</v>
      </c>
      <c r="H36" s="14" t="s">
        <v>45</v>
      </c>
      <c r="I36" s="46">
        <f t="shared" si="1"/>
        <v>0.84033613445378152</v>
      </c>
      <c r="J36" s="14" t="s">
        <v>46</v>
      </c>
      <c r="K36" s="47">
        <f t="shared" si="2"/>
        <v>0</v>
      </c>
      <c r="L36" s="14" t="s">
        <v>45</v>
      </c>
      <c r="M36" s="248">
        <v>0.5</v>
      </c>
      <c r="N36" s="14" t="s">
        <v>47</v>
      </c>
      <c r="O36" s="102">
        <f t="shared" si="3"/>
        <v>0.84033613445378152</v>
      </c>
      <c r="P36" s="57">
        <f t="shared" si="4"/>
        <v>700</v>
      </c>
      <c r="Q36" s="18">
        <f t="shared" si="5"/>
        <v>0.89702832456637671</v>
      </c>
      <c r="R36" s="64">
        <f t="shared" si="6"/>
        <v>747.22459436379177</v>
      </c>
      <c r="S36" s="105"/>
      <c r="T36" s="107">
        <f t="shared" si="7"/>
        <v>0.89702832456637671</v>
      </c>
      <c r="U36" s="107" t="s">
        <v>61</v>
      </c>
      <c r="V36" s="108" t="str">
        <f t="shared" si="8"/>
        <v>2015 VBT MSM RR 125 ALB</v>
      </c>
    </row>
    <row r="37" spans="1:22" ht="18" customHeight="1" x14ac:dyDescent="0.25">
      <c r="A37" s="17" t="s">
        <v>17</v>
      </c>
      <c r="B37" s="54" t="s">
        <v>31</v>
      </c>
      <c r="C37" s="76" t="s">
        <v>74</v>
      </c>
      <c r="D37" s="125">
        <v>32</v>
      </c>
      <c r="E37" s="126">
        <v>25</v>
      </c>
      <c r="F37" s="252">
        <f t="shared" si="0"/>
        <v>0.78125</v>
      </c>
      <c r="G37" s="127">
        <v>0.05</v>
      </c>
      <c r="H37" s="14" t="s">
        <v>45</v>
      </c>
      <c r="I37" s="46">
        <f t="shared" si="1"/>
        <v>0.78125</v>
      </c>
      <c r="J37" s="14" t="s">
        <v>46</v>
      </c>
      <c r="K37" s="47">
        <f t="shared" si="2"/>
        <v>0.95</v>
      </c>
      <c r="L37" s="14" t="s">
        <v>45</v>
      </c>
      <c r="M37" s="248">
        <v>0.5</v>
      </c>
      <c r="N37" s="14" t="s">
        <v>47</v>
      </c>
      <c r="O37" s="102">
        <f t="shared" si="3"/>
        <v>0.51406249999999998</v>
      </c>
      <c r="P37" s="57">
        <f t="shared" si="4"/>
        <v>16.45</v>
      </c>
      <c r="Q37" s="18">
        <f t="shared" si="5"/>
        <v>0.54874306148590957</v>
      </c>
      <c r="R37" s="64">
        <f t="shared" si="6"/>
        <v>17.559777967549106</v>
      </c>
      <c r="S37" s="105"/>
      <c r="T37" s="107">
        <f t="shared" si="7"/>
        <v>0.54874306148590957</v>
      </c>
      <c r="U37" s="107" t="s">
        <v>61</v>
      </c>
      <c r="V37" s="108" t="str">
        <f t="shared" si="8"/>
        <v>2015 VBT FNS RR 70 ALB</v>
      </c>
    </row>
    <row r="38" spans="1:22" ht="18" customHeight="1" x14ac:dyDescent="0.25">
      <c r="A38" s="17" t="s">
        <v>18</v>
      </c>
      <c r="B38" s="54" t="s">
        <v>32</v>
      </c>
      <c r="C38" s="49" t="s">
        <v>75</v>
      </c>
      <c r="D38" s="125">
        <v>226</v>
      </c>
      <c r="E38" s="126">
        <v>200</v>
      </c>
      <c r="F38" s="252">
        <f t="shared" si="0"/>
        <v>0.88495575221238942</v>
      </c>
      <c r="G38" s="127">
        <v>0.33</v>
      </c>
      <c r="H38" s="14" t="s">
        <v>45</v>
      </c>
      <c r="I38" s="46">
        <f t="shared" si="1"/>
        <v>0.88495575221238942</v>
      </c>
      <c r="J38" s="14" t="s">
        <v>46</v>
      </c>
      <c r="K38" s="47">
        <f t="shared" si="2"/>
        <v>0.66999999999999993</v>
      </c>
      <c r="L38" s="14" t="s">
        <v>45</v>
      </c>
      <c r="M38" s="248">
        <v>0.5</v>
      </c>
      <c r="N38" s="14" t="s">
        <v>47</v>
      </c>
      <c r="O38" s="102">
        <f t="shared" si="3"/>
        <v>0.62703539823008847</v>
      </c>
      <c r="P38" s="57">
        <f t="shared" si="4"/>
        <v>141.71</v>
      </c>
      <c r="Q38" s="18">
        <f t="shared" si="5"/>
        <v>0.66933753013459496</v>
      </c>
      <c r="R38" s="64">
        <f t="shared" si="6"/>
        <v>151.27028181041845</v>
      </c>
      <c r="S38" s="105"/>
      <c r="T38" s="107">
        <f t="shared" si="7"/>
        <v>0.66933753013459496</v>
      </c>
      <c r="U38" s="107" t="s">
        <v>61</v>
      </c>
      <c r="V38" s="108" t="str">
        <f t="shared" si="8"/>
        <v>2015 VBT FNS RR 80 ALB</v>
      </c>
    </row>
    <row r="39" spans="1:22" ht="18" customHeight="1" x14ac:dyDescent="0.25">
      <c r="A39" s="17" t="s">
        <v>19</v>
      </c>
      <c r="B39" s="54" t="s">
        <v>33</v>
      </c>
      <c r="C39" s="49" t="s">
        <v>76</v>
      </c>
      <c r="D39" s="125">
        <v>445</v>
      </c>
      <c r="E39" s="126">
        <v>350</v>
      </c>
      <c r="F39" s="252">
        <f t="shared" si="0"/>
        <v>0.7865168539325843</v>
      </c>
      <c r="G39" s="127">
        <v>0.66</v>
      </c>
      <c r="H39" s="14" t="s">
        <v>45</v>
      </c>
      <c r="I39" s="46">
        <f t="shared" si="1"/>
        <v>0.7865168539325843</v>
      </c>
      <c r="J39" s="14" t="s">
        <v>46</v>
      </c>
      <c r="K39" s="47">
        <f t="shared" si="2"/>
        <v>0.33999999999999997</v>
      </c>
      <c r="L39" s="14" t="s">
        <v>45</v>
      </c>
      <c r="M39" s="248">
        <v>0.5</v>
      </c>
      <c r="N39" s="14" t="s">
        <v>47</v>
      </c>
      <c r="O39" s="102">
        <f t="shared" si="3"/>
        <v>0.68910112359550557</v>
      </c>
      <c r="P39" s="57">
        <f t="shared" si="4"/>
        <v>306.64999999999998</v>
      </c>
      <c r="Q39" s="18">
        <f t="shared" si="5"/>
        <v>0.73559043936326396</v>
      </c>
      <c r="R39" s="64">
        <f t="shared" si="6"/>
        <v>327.33774551665249</v>
      </c>
      <c r="S39" s="105"/>
      <c r="T39" s="107">
        <f t="shared" si="7"/>
        <v>0.73559043936326396</v>
      </c>
      <c r="U39" s="107" t="s">
        <v>61</v>
      </c>
      <c r="V39" s="108" t="str">
        <f t="shared" si="8"/>
        <v>2015 VBT FNS RR 90 ALB</v>
      </c>
    </row>
    <row r="40" spans="1:22" ht="18" customHeight="1" x14ac:dyDescent="0.25">
      <c r="A40" s="17" t="s">
        <v>20</v>
      </c>
      <c r="B40" s="54" t="s">
        <v>116</v>
      </c>
      <c r="C40" s="49" t="s">
        <v>77</v>
      </c>
      <c r="D40" s="125">
        <v>545</v>
      </c>
      <c r="E40" s="126">
        <v>450</v>
      </c>
      <c r="F40" s="252">
        <f t="shared" si="0"/>
        <v>0.82568807339449546</v>
      </c>
      <c r="G40" s="127">
        <v>0.75</v>
      </c>
      <c r="H40" s="14" t="s">
        <v>45</v>
      </c>
      <c r="I40" s="46">
        <f t="shared" si="1"/>
        <v>0.82568807339449546</v>
      </c>
      <c r="J40" s="14" t="s">
        <v>46</v>
      </c>
      <c r="K40" s="47">
        <f t="shared" si="2"/>
        <v>0.25</v>
      </c>
      <c r="L40" s="14" t="s">
        <v>45</v>
      </c>
      <c r="M40" s="248">
        <v>0.5</v>
      </c>
      <c r="N40" s="14" t="s">
        <v>47</v>
      </c>
      <c r="O40" s="102">
        <f t="shared" si="3"/>
        <v>0.74426605504587162</v>
      </c>
      <c r="P40" s="57">
        <f t="shared" si="4"/>
        <v>405.62500000000006</v>
      </c>
      <c r="Q40" s="18">
        <f t="shared" si="5"/>
        <v>0.79447700154341561</v>
      </c>
      <c r="R40" s="64">
        <f t="shared" si="6"/>
        <v>432.98996584116151</v>
      </c>
      <c r="S40" s="105"/>
      <c r="T40" s="107">
        <f t="shared" si="7"/>
        <v>0.79447700154341561</v>
      </c>
      <c r="U40" s="107" t="s">
        <v>61</v>
      </c>
      <c r="V40" s="108" t="str">
        <f t="shared" si="8"/>
        <v>2015 VBT FNS RR 110 ALB</v>
      </c>
    </row>
    <row r="41" spans="1:22" ht="18" customHeight="1" x14ac:dyDescent="0.25">
      <c r="A41" s="17" t="s">
        <v>21</v>
      </c>
      <c r="B41" s="54" t="s">
        <v>34</v>
      </c>
      <c r="C41" s="76" t="s">
        <v>78</v>
      </c>
      <c r="D41" s="125">
        <v>733</v>
      </c>
      <c r="E41" s="126">
        <v>550</v>
      </c>
      <c r="F41" s="252">
        <f t="shared" si="0"/>
        <v>0.75034106412005452</v>
      </c>
      <c r="G41" s="127">
        <v>0.92</v>
      </c>
      <c r="H41" s="14" t="s">
        <v>45</v>
      </c>
      <c r="I41" s="46">
        <f t="shared" si="1"/>
        <v>0.75034106412005452</v>
      </c>
      <c r="J41" s="14" t="s">
        <v>46</v>
      </c>
      <c r="K41" s="47">
        <f t="shared" si="2"/>
        <v>7.999999999999996E-2</v>
      </c>
      <c r="L41" s="14" t="s">
        <v>45</v>
      </c>
      <c r="M41" s="248">
        <v>0.5</v>
      </c>
      <c r="N41" s="14" t="s">
        <v>47</v>
      </c>
      <c r="O41" s="102">
        <f t="shared" si="3"/>
        <v>0.73031377899045014</v>
      </c>
      <c r="P41" s="57">
        <f t="shared" si="4"/>
        <v>535.31999999999994</v>
      </c>
      <c r="Q41" s="18">
        <f t="shared" si="5"/>
        <v>0.77958345323489564</v>
      </c>
      <c r="R41" s="64">
        <f t="shared" si="6"/>
        <v>571.43467122117852</v>
      </c>
      <c r="S41" s="105"/>
      <c r="T41" s="107">
        <f t="shared" si="7"/>
        <v>0.77958345323489564</v>
      </c>
      <c r="U41" s="107" t="s">
        <v>61</v>
      </c>
      <c r="V41" s="108" t="str">
        <f t="shared" si="8"/>
        <v>2015 VBT FSM RR 75 ALB</v>
      </c>
    </row>
    <row r="42" spans="1:22" ht="18" customHeight="1" x14ac:dyDescent="0.25">
      <c r="A42" s="17" t="s">
        <v>22</v>
      </c>
      <c r="B42" s="54" t="s">
        <v>117</v>
      </c>
      <c r="C42" s="49" t="s">
        <v>79</v>
      </c>
      <c r="D42" s="125">
        <v>756</v>
      </c>
      <c r="E42" s="126">
        <v>650</v>
      </c>
      <c r="F42" s="252">
        <f t="shared" si="0"/>
        <v>0.85978835978835977</v>
      </c>
      <c r="G42" s="127">
        <v>0.98</v>
      </c>
      <c r="H42" s="14" t="s">
        <v>45</v>
      </c>
      <c r="I42" s="46">
        <f t="shared" si="1"/>
        <v>0.85978835978835977</v>
      </c>
      <c r="J42" s="14" t="s">
        <v>46</v>
      </c>
      <c r="K42" s="47">
        <f t="shared" si="2"/>
        <v>2.0000000000000018E-2</v>
      </c>
      <c r="L42" s="14" t="s">
        <v>45</v>
      </c>
      <c r="M42" s="248">
        <v>0.5</v>
      </c>
      <c r="N42" s="14" t="s">
        <v>47</v>
      </c>
      <c r="O42" s="102">
        <f t="shared" si="3"/>
        <v>0.85259259259259257</v>
      </c>
      <c r="P42" s="57">
        <f t="shared" si="4"/>
        <v>644.55999999999995</v>
      </c>
      <c r="Q42" s="18">
        <f t="shared" si="5"/>
        <v>0.91011164879653361</v>
      </c>
      <c r="R42" s="64">
        <f t="shared" si="6"/>
        <v>688.04440649017943</v>
      </c>
      <c r="S42" s="105"/>
      <c r="T42" s="107">
        <f t="shared" si="7"/>
        <v>0.91011164879653361</v>
      </c>
      <c r="U42" s="107" t="s">
        <v>61</v>
      </c>
      <c r="V42" s="108" t="str">
        <f t="shared" si="8"/>
        <v>2015 VBT FSM RR 125 ALB</v>
      </c>
    </row>
    <row r="43" spans="1:22" s="11" customFormat="1" ht="30" x14ac:dyDescent="0.25">
      <c r="A43" s="19" t="s">
        <v>3</v>
      </c>
      <c r="B43" s="66" t="s">
        <v>38</v>
      </c>
      <c r="C43" s="50"/>
      <c r="D43" s="20">
        <f>SUM(D31:D42)</f>
        <v>5904</v>
      </c>
      <c r="E43" s="114">
        <f>SUM(E31:E42)</f>
        <v>4775</v>
      </c>
      <c r="F43" s="255">
        <f t="shared" si="0"/>
        <v>0.80877371273712739</v>
      </c>
      <c r="G43" s="136">
        <v>1</v>
      </c>
      <c r="H43" s="38"/>
      <c r="I43" s="39"/>
      <c r="J43" s="39"/>
      <c r="K43" s="40"/>
      <c r="L43" s="40"/>
      <c r="M43" s="39"/>
      <c r="N43" s="39"/>
      <c r="O43" s="61"/>
      <c r="P43" s="58">
        <f>SUM(P31:P42)</f>
        <v>4473.2199999999993</v>
      </c>
      <c r="Q43" s="21"/>
      <c r="R43" s="115">
        <f>SUM(R31:R42)</f>
        <v>4775</v>
      </c>
      <c r="S43" s="106"/>
      <c r="T43" s="62"/>
      <c r="U43" s="62"/>
      <c r="V43" s="65"/>
    </row>
    <row r="44" spans="1:22" x14ac:dyDescent="0.25">
      <c r="A44" s="22"/>
      <c r="B44" s="23"/>
      <c r="C44" s="23"/>
      <c r="D44" s="23"/>
      <c r="E44" s="24"/>
      <c r="F44" s="25"/>
      <c r="G44" s="25"/>
      <c r="H44" s="25"/>
      <c r="I44" s="25"/>
      <c r="J44" s="25"/>
      <c r="K44" s="25"/>
      <c r="L44" s="25"/>
      <c r="M44" s="25"/>
      <c r="N44" s="25"/>
      <c r="O44" s="25"/>
      <c r="P44" s="24"/>
      <c r="Q44" s="25"/>
      <c r="R44" s="24"/>
      <c r="S44" s="24"/>
      <c r="T44" s="24"/>
      <c r="U44" s="24"/>
      <c r="V44" s="26"/>
    </row>
    <row r="45" spans="1:22" x14ac:dyDescent="0.25">
      <c r="A45" s="27"/>
      <c r="B45" s="28"/>
      <c r="C45" s="29"/>
      <c r="D45" s="28"/>
      <c r="E45" s="30"/>
      <c r="F45" s="31"/>
      <c r="G45" s="31"/>
      <c r="H45" s="31"/>
      <c r="I45" s="31"/>
      <c r="J45" s="31"/>
      <c r="K45" s="31"/>
      <c r="L45" s="31"/>
      <c r="M45" s="31"/>
      <c r="N45" s="31"/>
      <c r="O45" s="29" t="str">
        <f>"Normalization Ratio (NR) = Actual Aggregate Claim Amount / CW Expected Aggregate Claim Amount = "&amp;E43&amp;" / "&amp;ROUND(P43,0)&amp;":"</f>
        <v>Normalization Ratio (NR) = Actual Aggregate Claim Amount / CW Expected Aggregate Claim Amount = 4775 / 4473:</v>
      </c>
      <c r="P45" s="32">
        <f>E43/P43</f>
        <v>1.0674637062339882</v>
      </c>
      <c r="Q45" s="33"/>
      <c r="R45" s="30"/>
      <c r="S45" s="30"/>
      <c r="T45" s="30"/>
      <c r="U45" s="30"/>
      <c r="V45" s="34"/>
    </row>
    <row r="46" spans="1:22" x14ac:dyDescent="0.25">
      <c r="O46" s="2"/>
    </row>
  </sheetData>
  <printOptions horizontalCentered="1"/>
  <pageMargins left="0" right="0" top="0.5" bottom="0" header="0.3" footer="0.3"/>
  <pageSetup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zoomScaleNormal="100" workbookViewId="0">
      <selection activeCell="A2" sqref="A2"/>
    </sheetView>
  </sheetViews>
  <sheetFormatPr defaultColWidth="9.140625" defaultRowHeight="15.75" x14ac:dyDescent="0.25"/>
  <cols>
    <col min="1" max="1" width="18.42578125" style="101" customWidth="1"/>
    <col min="2" max="2" width="1" style="101" customWidth="1"/>
    <col min="3" max="3" width="49.7109375" style="101" customWidth="1"/>
    <col min="4" max="4" width="1.7109375" style="101" customWidth="1"/>
    <col min="5" max="5" width="49.7109375" style="101" customWidth="1"/>
    <col min="6" max="6" width="9.140625" style="13" customWidth="1"/>
    <col min="7" max="16384" width="9.140625" style="13"/>
  </cols>
  <sheetData>
    <row r="1" spans="1:5" ht="15.6" x14ac:dyDescent="0.3">
      <c r="A1" s="137" t="s">
        <v>49</v>
      </c>
      <c r="B1" s="137"/>
      <c r="C1" s="100"/>
      <c r="D1" s="100"/>
      <c r="E1" s="264">
        <f>'Relativistic Method - Example 1'!$K$1</f>
        <v>43651</v>
      </c>
    </row>
    <row r="3" spans="1:5" ht="15.6" x14ac:dyDescent="0.3">
      <c r="A3" s="139"/>
      <c r="B3" s="138"/>
      <c r="C3" s="144" t="s">
        <v>120</v>
      </c>
      <c r="D3" s="149"/>
      <c r="E3" s="146" t="s">
        <v>121</v>
      </c>
    </row>
    <row r="4" spans="1:5" ht="15.6" x14ac:dyDescent="0.3">
      <c r="A4" s="140"/>
      <c r="B4" s="142"/>
      <c r="D4" s="150"/>
      <c r="E4" s="147"/>
    </row>
    <row r="5" spans="1:5" ht="46.9" x14ac:dyDescent="0.3">
      <c r="A5" s="140" t="s">
        <v>82</v>
      </c>
      <c r="B5" s="142"/>
      <c r="C5" s="101" t="s">
        <v>50</v>
      </c>
      <c r="D5" s="150"/>
      <c r="E5" s="147" t="s">
        <v>51</v>
      </c>
    </row>
    <row r="6" spans="1:5" ht="15.6" x14ac:dyDescent="0.3">
      <c r="A6" s="141"/>
      <c r="B6" s="143"/>
      <c r="C6" s="145"/>
      <c r="D6" s="151"/>
      <c r="E6" s="148"/>
    </row>
    <row r="7" spans="1:5" ht="78" x14ac:dyDescent="0.3">
      <c r="A7" s="140" t="s">
        <v>83</v>
      </c>
      <c r="B7" s="142"/>
      <c r="C7" s="101" t="s">
        <v>118</v>
      </c>
      <c r="D7" s="150"/>
      <c r="E7" s="147" t="s">
        <v>119</v>
      </c>
    </row>
    <row r="8" spans="1:5" ht="15.6" x14ac:dyDescent="0.3">
      <c r="A8" s="141"/>
      <c r="B8" s="143"/>
      <c r="C8" s="145"/>
      <c r="D8" s="151"/>
      <c r="E8" s="148"/>
    </row>
    <row r="9" spans="1:5" ht="127.5" customHeight="1" x14ac:dyDescent="0.3">
      <c r="A9" s="140" t="s">
        <v>86</v>
      </c>
      <c r="B9" s="142"/>
      <c r="C9" s="101" t="s">
        <v>220</v>
      </c>
      <c r="D9" s="150"/>
      <c r="E9" s="147" t="s">
        <v>122</v>
      </c>
    </row>
    <row r="10" spans="1:5" ht="15.6" x14ac:dyDescent="0.3">
      <c r="A10" s="141"/>
      <c r="B10" s="143"/>
      <c r="C10" s="145"/>
      <c r="D10" s="151"/>
      <c r="E10" s="148"/>
    </row>
    <row r="11" spans="1:5" ht="31.5" x14ac:dyDescent="0.25">
      <c r="A11" s="140" t="s">
        <v>84</v>
      </c>
      <c r="B11" s="142"/>
      <c r="C11" s="393" t="s">
        <v>87</v>
      </c>
      <c r="D11" s="393"/>
      <c r="E11" s="394"/>
    </row>
    <row r="12" spans="1:5" x14ac:dyDescent="0.25">
      <c r="A12" s="141"/>
      <c r="B12" s="143"/>
      <c r="C12" s="395"/>
      <c r="D12" s="395"/>
      <c r="E12" s="396"/>
    </row>
    <row r="13" spans="1:5" ht="31.5" x14ac:dyDescent="0.25">
      <c r="A13" s="140" t="s">
        <v>85</v>
      </c>
      <c r="B13" s="142"/>
      <c r="C13" s="391" t="s">
        <v>88</v>
      </c>
      <c r="D13" s="391"/>
      <c r="E13" s="392"/>
    </row>
    <row r="14" spans="1:5" x14ac:dyDescent="0.25">
      <c r="A14" s="141"/>
      <c r="B14" s="143"/>
      <c r="C14" s="395"/>
      <c r="D14" s="395"/>
      <c r="E14" s="396"/>
    </row>
  </sheetData>
  <mergeCells count="4">
    <mergeCell ref="C13:E13"/>
    <mergeCell ref="C11:E11"/>
    <mergeCell ref="C12:E12"/>
    <mergeCell ref="C14:E1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DISCLAIMER</vt:lpstr>
      <vt:lpstr>Relativistic Method - Example 1</vt:lpstr>
      <vt:lpstr>Relativistic Method - Example 2</vt:lpstr>
      <vt:lpstr>Relativistic Method - Example 3</vt:lpstr>
      <vt:lpstr>Relativistic Method - Example 4</vt:lpstr>
      <vt:lpstr>Weighting Method - Example 5</vt:lpstr>
      <vt:lpstr>Weighting Method - Example 6</vt:lpstr>
      <vt:lpstr>Weighting Method - Example  7</vt:lpstr>
      <vt:lpstr>Comparisons</vt:lpstr>
      <vt:lpstr>TwoStep Method - Example 8</vt:lpstr>
      <vt:lpstr>TwoStep Method - Example 9</vt:lpstr>
    </vt:vector>
  </TitlesOfParts>
  <Company>State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Hemphill, Rachel</dc:creator>
  <cp:lastModifiedBy>Tim</cp:lastModifiedBy>
  <cp:lastPrinted>2019-07-24T17:58:52Z</cp:lastPrinted>
  <dcterms:created xsi:type="dcterms:W3CDTF">2018-11-20T14:57:23Z</dcterms:created>
  <dcterms:modified xsi:type="dcterms:W3CDTF">2020-09-23T16:45:12Z</dcterms:modified>
</cp:coreProperties>
</file>