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c32c6cbdde5760e7/TLPR/Research/IUL/"/>
    </mc:Choice>
  </mc:AlternateContent>
  <xr:revisionPtr revIDLastSave="17" documentId="8_{0E145053-9D44-491B-BFA5-FC3856831EDC}" xr6:coauthVersionLast="45" xr6:coauthVersionMax="45" xr10:uidLastSave="{EF3A9D7E-A572-41A6-8B14-0963E879E1BB}"/>
  <bookViews>
    <workbookView xWindow="-120" yWindow="-120" windowWidth="29040" windowHeight="15840" activeTab="2" xr2:uid="{BF409BBF-9D48-4D81-BF22-129DF3BE45CA}"/>
  </bookViews>
  <sheets>
    <sheet name="2015-2019 Data" sheetId="4" r:id="rId1"/>
    <sheet name="Independent Proposal (Original)" sheetId="28" r:id="rId2"/>
    <sheet name="Independent Proposal (Modified)" sheetId="31" r:id="rId3"/>
    <sheet name="ACLI 04-14-20 Draft-BIA HB=NIER" sheetId="30" r:id="rId4"/>
  </sheets>
  <externalReferences>
    <externalReference r:id="rId5"/>
  </externalReferences>
  <definedNames>
    <definedName name="Data" localSheetId="3">[1]Data!$A$2:$E$37</definedName>
    <definedName name="Data" localSheetId="2">'2015-2019 Data'!$A$3:$E$38</definedName>
    <definedName name="Data" localSheetId="1">'2015-2019 Data'!$A$3:$E$38</definedName>
    <definedName name="Data">'2015-2019 Data'!$A$3:$E$38</definedName>
    <definedName name="NIER" localSheetId="3">[1]Data!$H$12</definedName>
    <definedName name="NIER" localSheetId="2">'2015-2019 Data'!$I$12</definedName>
    <definedName name="NIER" localSheetId="1">'2015-2019 Data'!$I$12</definedName>
    <definedName name="NIER">'2015-2019 Data'!$I$12</definedName>
    <definedName name="_xlnm.Print_Area" localSheetId="3">'ACLI 04-14-20 Draft-BIA HB=NIER'!$B$2:$M$24</definedName>
    <definedName name="_xlnm.Print_Area" localSheetId="2">'Independent Proposal (Modified)'!$B$2:$M$17</definedName>
    <definedName name="_xlnm.Print_Area" localSheetId="1">'Independent Proposal (Original)'!$B$2:$M$17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28" l="1"/>
  <c r="M10" i="28"/>
  <c r="L10" i="28"/>
  <c r="J10" i="28"/>
  <c r="H10" i="28"/>
  <c r="F10" i="31"/>
  <c r="G10" i="31"/>
  <c r="H10" i="31"/>
  <c r="N10" i="31"/>
  <c r="M10" i="31"/>
  <c r="L10" i="31"/>
  <c r="J10" i="31"/>
  <c r="J9" i="31"/>
  <c r="J13" i="31"/>
  <c r="J15" i="31" s="1"/>
  <c r="N13" i="31"/>
  <c r="N15" i="31" s="1"/>
  <c r="M13" i="31"/>
  <c r="M15" i="31" s="1"/>
  <c r="L13" i="31"/>
  <c r="L16" i="31" s="1"/>
  <c r="K13" i="31"/>
  <c r="K15" i="31" s="1"/>
  <c r="H13" i="31"/>
  <c r="H15" i="31" s="1"/>
  <c r="G13" i="31"/>
  <c r="G16" i="31" s="1"/>
  <c r="F13" i="31"/>
  <c r="N9" i="31"/>
  <c r="M9" i="31"/>
  <c r="L9" i="31"/>
  <c r="K9" i="31"/>
  <c r="K10" i="31" s="1"/>
  <c r="H9" i="31"/>
  <c r="G9" i="31"/>
  <c r="F9" i="31"/>
  <c r="E13" i="31"/>
  <c r="E15" i="31" s="1"/>
  <c r="D13" i="31"/>
  <c r="D15" i="31" s="1"/>
  <c r="D9" i="31"/>
  <c r="M8" i="31" s="1"/>
  <c r="N6" i="31"/>
  <c r="M6" i="31"/>
  <c r="L6" i="31"/>
  <c r="K6" i="31"/>
  <c r="J6" i="31"/>
  <c r="H6" i="31"/>
  <c r="G6" i="31"/>
  <c r="F6" i="31"/>
  <c r="E6" i="31"/>
  <c r="D6" i="31"/>
  <c r="N16" i="31" l="1"/>
  <c r="L15" i="31"/>
  <c r="H16" i="31"/>
  <c r="M11" i="31"/>
  <c r="M16" i="31"/>
  <c r="D11" i="31"/>
  <c r="H11" i="31"/>
  <c r="L11" i="31"/>
  <c r="N11" i="31"/>
  <c r="D16" i="31"/>
  <c r="G11" i="31"/>
  <c r="J11" i="31"/>
  <c r="F15" i="31"/>
  <c r="G15" i="31"/>
  <c r="F9" i="28"/>
  <c r="F13" i="28"/>
  <c r="D6" i="30"/>
  <c r="D12" i="30" s="1"/>
  <c r="E6" i="30"/>
  <c r="F6" i="30"/>
  <c r="G6" i="30"/>
  <c r="H6" i="30"/>
  <c r="J6" i="30"/>
  <c r="K6" i="30"/>
  <c r="L6" i="30"/>
  <c r="M6" i="30"/>
  <c r="N6" i="30"/>
  <c r="D9" i="30"/>
  <c r="J10" i="30" s="1"/>
  <c r="E9" i="30"/>
  <c r="F9" i="30"/>
  <c r="G9" i="30"/>
  <c r="H9" i="30"/>
  <c r="J9" i="30"/>
  <c r="K9" i="30"/>
  <c r="L9" i="30"/>
  <c r="M9" i="30"/>
  <c r="M10" i="30" s="1"/>
  <c r="N9" i="30"/>
  <c r="E14" i="30"/>
  <c r="F14" i="30"/>
  <c r="G14" i="30"/>
  <c r="H14" i="30"/>
  <c r="J14" i="30"/>
  <c r="K14" i="30"/>
  <c r="L14" i="30"/>
  <c r="M14" i="30"/>
  <c r="N14" i="30"/>
  <c r="E24" i="30"/>
  <c r="N24" i="30"/>
  <c r="H17" i="31" l="1"/>
  <c r="M17" i="31"/>
  <c r="G17" i="31"/>
  <c r="D17" i="31"/>
  <c r="N17" i="31"/>
  <c r="L17" i="31"/>
  <c r="J16" i="31"/>
  <c r="J17" i="31" s="1"/>
  <c r="K11" i="31"/>
  <c r="K16" i="31"/>
  <c r="F24" i="30"/>
  <c r="N10" i="30"/>
  <c r="N13" i="30" s="1"/>
  <c r="N16" i="30" s="1"/>
  <c r="E10" i="30"/>
  <c r="E13" i="30" s="1"/>
  <c r="E16" i="30" s="1"/>
  <c r="G24" i="30"/>
  <c r="J13" i="30"/>
  <c r="J16" i="30" s="1"/>
  <c r="D16" i="30"/>
  <c r="M13" i="30"/>
  <c r="M16" i="30" s="1"/>
  <c r="L24" i="30"/>
  <c r="G10" i="30"/>
  <c r="G13" i="30" s="1"/>
  <c r="G16" i="30" s="1"/>
  <c r="K10" i="30"/>
  <c r="K13" i="30" s="1"/>
  <c r="K16" i="30" s="1"/>
  <c r="D24" i="30"/>
  <c r="J24" i="30"/>
  <c r="F10" i="30"/>
  <c r="F13" i="30" s="1"/>
  <c r="F16" i="30" s="1"/>
  <c r="H24" i="30"/>
  <c r="M24" i="30"/>
  <c r="H10" i="30"/>
  <c r="H13" i="30" s="1"/>
  <c r="H16" i="30" s="1"/>
  <c r="K24" i="30"/>
  <c r="D10" i="30"/>
  <c r="L10" i="30"/>
  <c r="L13" i="30" s="1"/>
  <c r="L16" i="30" s="1"/>
  <c r="K17" i="31" l="1"/>
  <c r="H22" i="30"/>
  <c r="H20" i="30"/>
  <c r="H19" i="30"/>
  <c r="F20" i="30"/>
  <c r="F19" i="30"/>
  <c r="F22" i="30"/>
  <c r="L20" i="30"/>
  <c r="L22" i="30"/>
  <c r="L19" i="30"/>
  <c r="K19" i="30"/>
  <c r="K20" i="30"/>
  <c r="K22" i="30"/>
  <c r="M19" i="30"/>
  <c r="M20" i="30"/>
  <c r="M22" i="30"/>
  <c r="E19" i="30"/>
  <c r="E22" i="30"/>
  <c r="E20" i="30"/>
  <c r="G19" i="30"/>
  <c r="G20" i="30"/>
  <c r="G22" i="30"/>
  <c r="D19" i="30"/>
  <c r="D20" i="30"/>
  <c r="D22" i="30"/>
  <c r="N19" i="30"/>
  <c r="N20" i="30"/>
  <c r="N22" i="30"/>
  <c r="J20" i="30"/>
  <c r="J22" i="30"/>
  <c r="J19" i="30"/>
  <c r="L15" i="28" l="1"/>
  <c r="H16" i="28"/>
  <c r="F16" i="28"/>
  <c r="F15" i="28"/>
  <c r="E15" i="28"/>
  <c r="H11" i="28"/>
  <c r="F10" i="28"/>
  <c r="N9" i="28"/>
  <c r="N11" i="28" s="1"/>
  <c r="L9" i="28"/>
  <c r="L11" i="28" s="1"/>
  <c r="D9" i="28"/>
  <c r="H9" i="28"/>
  <c r="G9" i="28"/>
  <c r="G11" i="28" s="1"/>
  <c r="N13" i="28"/>
  <c r="N16" i="28" s="1"/>
  <c r="M13" i="28"/>
  <c r="M15" i="28" s="1"/>
  <c r="L13" i="28"/>
  <c r="L16" i="28" s="1"/>
  <c r="K13" i="28"/>
  <c r="K15" i="28" s="1"/>
  <c r="J13" i="28"/>
  <c r="J15" i="28" s="1"/>
  <c r="D13" i="28"/>
  <c r="D16" i="28" s="1"/>
  <c r="E13" i="28"/>
  <c r="H13" i="28"/>
  <c r="H15" i="28" s="1"/>
  <c r="G13" i="28"/>
  <c r="G16" i="28" s="1"/>
  <c r="N6" i="28"/>
  <c r="M6" i="28"/>
  <c r="L6" i="28"/>
  <c r="K6" i="28"/>
  <c r="J6" i="28"/>
  <c r="H6" i="28"/>
  <c r="G6" i="28"/>
  <c r="F6" i="28"/>
  <c r="E6" i="28"/>
  <c r="D6" i="28"/>
  <c r="D17" i="28" l="1"/>
  <c r="D15" i="28"/>
  <c r="F11" i="28"/>
  <c r="F17" i="28" s="1"/>
  <c r="G15" i="28"/>
  <c r="N15" i="28"/>
  <c r="D11" i="28"/>
  <c r="N17" i="28"/>
  <c r="M8" i="28"/>
  <c r="L17" i="28"/>
  <c r="G10" i="28"/>
  <c r="G17" i="28" s="1"/>
  <c r="M16" i="28" l="1"/>
  <c r="M9" i="28"/>
  <c r="M11" i="28" s="1"/>
  <c r="K9" i="28"/>
  <c r="K16" i="28"/>
  <c r="J9" i="28"/>
  <c r="J11" i="28" s="1"/>
  <c r="J16" i="28"/>
  <c r="H17" i="28"/>
  <c r="K11" i="28" l="1"/>
  <c r="K10" i="28"/>
  <c r="K17" i="28" s="1"/>
  <c r="J17" i="28"/>
  <c r="M17" i="28"/>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2" i="4"/>
  <c r="C38" i="4" l="1"/>
  <c r="C37" i="4"/>
  <c r="C36" i="4"/>
  <c r="K2" i="4" l="1"/>
  <c r="E2" i="4" l="1"/>
  <c r="E3" i="4"/>
  <c r="E36" i="4"/>
  <c r="E37" i="4"/>
  <c r="E38" i="4"/>
  <c r="E35" i="4"/>
  <c r="E6" i="4"/>
  <c r="E16" i="4"/>
  <c r="E7" i="4"/>
  <c r="E17" i="4"/>
  <c r="E8" i="4"/>
  <c r="E18" i="4"/>
  <c r="E9" i="4"/>
  <c r="E19" i="4"/>
  <c r="E10" i="4"/>
  <c r="E20" i="4"/>
  <c r="E11" i="4"/>
  <c r="E21" i="4"/>
  <c r="E12" i="4"/>
  <c r="E13" i="4"/>
  <c r="E23" i="4"/>
  <c r="E4" i="4"/>
  <c r="E14" i="4"/>
  <c r="E24" i="4"/>
  <c r="E5" i="4"/>
  <c r="E15" i="4"/>
  <c r="E25" i="4"/>
  <c r="E22" i="4" l="1"/>
  <c r="E26" i="4" l="1"/>
  <c r="E27" i="4" l="1"/>
  <c r="E28" i="4" l="1"/>
  <c r="E29" i="4" l="1"/>
  <c r="B20" i="4"/>
  <c r="B17" i="4"/>
  <c r="E30" i="4" l="1"/>
  <c r="E31" i="4" l="1"/>
  <c r="E32" i="4" l="1"/>
  <c r="E33" i="4" l="1"/>
  <c r="E34" i="4" l="1"/>
  <c r="L2" i="4" l="1"/>
  <c r="F11" i="31"/>
  <c r="F16" i="31"/>
  <c r="F17" i="31" l="1"/>
  <c r="E16" i="31"/>
  <c r="E9" i="31"/>
  <c r="E11" i="31" s="1"/>
  <c r="E10" i="31" l="1"/>
  <c r="E17" i="31" s="1"/>
  <c r="E16" i="28"/>
  <c r="E9" i="28"/>
  <c r="E10" i="28" s="1"/>
  <c r="E11" i="28" l="1"/>
  <c r="E17" i="28" s="1"/>
</calcChain>
</file>

<file path=xl/sharedStrings.xml><?xml version="1.0" encoding="utf-8"?>
<sst xmlns="http://schemas.openxmlformats.org/spreadsheetml/2006/main" count="155" uniqueCount="74">
  <si>
    <t>Multiplier</t>
  </si>
  <si>
    <t>NIER</t>
  </si>
  <si>
    <t>NIER with Hedges</t>
  </si>
  <si>
    <t>DCS Limit</t>
  </si>
  <si>
    <t>Cap</t>
  </si>
  <si>
    <t>Avg Vol
Purchase</t>
  </si>
  <si>
    <t>BOY Hedge Cost</t>
  </si>
  <si>
    <t>Max Illus Rate</t>
  </si>
  <si>
    <t>Avg Risk Free Rate</t>
  </si>
  <si>
    <t>Avg Div Yield</t>
  </si>
  <si>
    <t>Avg Vol
Sold</t>
  </si>
  <si>
    <t>Assumes 100% Participation, 0% Floor, S&amp;P 500 Point to Point</t>
  </si>
  <si>
    <t>NIER No Hedges</t>
  </si>
  <si>
    <t>Average parameters for 2015-2019</t>
  </si>
  <si>
    <t>Black Scholes Calculation</t>
  </si>
  <si>
    <t>b</t>
  </si>
  <si>
    <t>Index Bonus (Multiplier)</t>
  </si>
  <si>
    <t>Annual Net Investment Earnings Rate</t>
  </si>
  <si>
    <t>Example 4</t>
  </si>
  <si>
    <t>Example 3</t>
  </si>
  <si>
    <t>Example 2</t>
  </si>
  <si>
    <t>Cap Buy-Up w/Multiplier</t>
  </si>
  <si>
    <t>Cap Buy-Up</t>
  </si>
  <si>
    <t>Example 5</t>
  </si>
  <si>
    <t>4(C)(ii)</t>
  </si>
  <si>
    <t>4(C)(i)</t>
  </si>
  <si>
    <t>4(B)</t>
  </si>
  <si>
    <t>3(H)</t>
  </si>
  <si>
    <t>7% / 1% Floor</t>
  </si>
  <si>
    <t>9% / 1% Floor</t>
  </si>
  <si>
    <t>3(B)</t>
  </si>
  <si>
    <t>Example 8</t>
  </si>
  <si>
    <t>AG 49 Section</t>
  </si>
  <si>
    <t>Example 9</t>
  </si>
  <si>
    <t>Example 7</t>
  </si>
  <si>
    <t>Example 6</t>
  </si>
  <si>
    <t>1% floor &amp; Included Bonus</t>
  </si>
  <si>
    <t>1% floor</t>
  </si>
  <si>
    <t>Smaller Included Bonus</t>
  </si>
  <si>
    <t>Included bonus</t>
  </si>
  <si>
    <t>Lower cap</t>
  </si>
  <si>
    <t>3(G)</t>
  </si>
  <si>
    <t>n/a</t>
  </si>
  <si>
    <t>Historical Credited Rate for BIA in 4(B) + 
Supplemental Hedge Budget</t>
  </si>
  <si>
    <t>Total Indexed Credits using actuarial judgment, method consistent with 4A/4B if applicable</t>
  </si>
  <si>
    <t>4(B) for BIA
4(C) for non-BIA</t>
  </si>
  <si>
    <t>Maximum Indexed Credit</t>
  </si>
  <si>
    <t>Benchmark Index Account: 4(B)</t>
  </si>
  <si>
    <t>Non-BIA: min ( 4(C)(i) , 4(C)(ii) )</t>
  </si>
  <si>
    <t>5A</t>
  </si>
  <si>
    <t>Example 10</t>
  </si>
  <si>
    <t>Cap Buy-Up with 1% Floor</t>
  </si>
  <si>
    <t>18% / 1% Floor</t>
  </si>
  <si>
    <t>Adjusted Max Illustrated rate st 10% cap = 6.2% max illustrated rate</t>
  </si>
  <si>
    <t>Adjusted BOY Hedge Cost st 10% cap has 0% charge</t>
  </si>
  <si>
    <t>Example 1/BIA*
HB = NIER</t>
  </si>
  <si>
    <t>Uncapped</t>
  </si>
  <si>
    <t>Black-Scholes Valuation Using Independent Proposal</t>
  </si>
  <si>
    <t>Asset Charge to Support Feature</t>
  </si>
  <si>
    <t>Total Hedge Budget</t>
  </si>
  <si>
    <t>Asset Bonus from Hedge Savings</t>
  </si>
  <si>
    <t>AG49 Illustrated Valuation Arbitrage
"Option Profits"</t>
  </si>
  <si>
    <t>Maximum Illustrated Crediting Rate</t>
  </si>
  <si>
    <t>Net Illustrated Rate</t>
  </si>
  <si>
    <t>Maximum Illustrated Indexed Credits</t>
  </si>
  <si>
    <t>Independent Proposal</t>
  </si>
  <si>
    <t>Hedge Budget</t>
  </si>
  <si>
    <t>Supplemental Hedge Budget</t>
  </si>
  <si>
    <r>
      <t xml:space="preserve">Historical Credited Rate for Benchmark Index Account </t>
    </r>
    <r>
      <rPr>
        <b/>
        <i/>
        <sz val="9"/>
        <color rgb="FF0070C0"/>
        <rFont val="Calibri"/>
        <family val="2"/>
      </rPr>
      <t>(A)</t>
    </r>
    <r>
      <rPr>
        <i/>
        <sz val="9"/>
        <color rgb="FF0070C0"/>
        <rFont val="Calibri"/>
        <family val="2"/>
      </rPr>
      <t xml:space="preserve">
Comment: BIA Lookback for Base Case</t>
    </r>
  </si>
  <si>
    <t>Maximum Illustrated Indexed Credits less Supplemental Hedge Budget</t>
  </si>
  <si>
    <t>Implied Max Illustrated Rate</t>
  </si>
  <si>
    <t>Earned rate underlying DCS, adjusted assuming hedge cost BOY and hedge return EOY</t>
  </si>
  <si>
    <t>This sheet reflects the original Independent Proposal, which uses an unadjusted Black-Scholes valuation that reflects the actual affordable option budget resulting from the specified NIER</t>
  </si>
  <si>
    <t>This sheet reflects the modification the ACLI used to offset the effect of timing differences between hedges purchased at the beginning of the year and NIER, which is quoted as an annual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</si>
</sst>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19">
    <font>
      <sz val="11"/>
      <color theme="1"/>
      <name val="Calibri"/>
      <family val="2"/>
      <scheme val="minor"/>
    </font>
    <font>
      <sz val="11"/>
      <color theme="1"/>
      <name val="Calibri"/>
      <family val="2"/>
      <scheme val="minor"/>
    </font>
    <font>
      <sz val="11"/>
      <color theme="1"/>
      <name val="FS Elliot Pro"/>
      <family val="3"/>
    </font>
    <font>
      <b/>
      <sz val="11"/>
      <color theme="1"/>
      <name val="FS Elliot Pro"/>
      <family val="3"/>
    </font>
    <font>
      <sz val="11"/>
      <color rgb="FF0070C0"/>
      <name val="FS Elliot Pro"/>
      <family val="3"/>
    </font>
    <font>
      <sz val="9"/>
      <color rgb="FF0070C0"/>
      <name val="Calibri"/>
      <family val="2"/>
    </font>
    <font>
      <sz val="9"/>
      <color theme="1"/>
      <name val="Calibri"/>
      <family val="2"/>
      <scheme val="minor"/>
    </font>
    <font>
      <i/>
      <sz val="9"/>
      <color rgb="FF0070C0"/>
      <name val="Calibri"/>
      <family val="2"/>
    </font>
    <font>
      <sz val="9"/>
      <color rgb="FF0070C0"/>
      <name val="Times New Roman"/>
      <family val="1"/>
    </font>
    <font>
      <i/>
      <sz val="9"/>
      <color rgb="FF0070C0"/>
      <name val="Times New Roman"/>
      <family val="1"/>
    </font>
    <font>
      <b/>
      <i/>
      <u/>
      <sz val="9"/>
      <color rgb="FF0070C0"/>
      <name val="Calibri"/>
      <family val="2"/>
    </font>
    <font>
      <b/>
      <i/>
      <sz val="9"/>
      <color rgb="FF0070C0"/>
      <name val="Calibri"/>
      <family val="2"/>
    </font>
    <font>
      <b/>
      <sz val="9"/>
      <color rgb="FF0070C0"/>
      <name val="Calibri"/>
      <family val="2"/>
    </font>
    <font>
      <sz val="9"/>
      <color theme="1"/>
      <name val="Times New Roman"/>
      <family val="1"/>
    </font>
    <font>
      <sz val="9"/>
      <name val="Calibri"/>
      <family val="2"/>
    </font>
    <font>
      <b/>
      <sz val="11"/>
      <color theme="1"/>
      <name val="FS Elliot Pro"/>
    </font>
    <font>
      <sz val="9"/>
      <color rgb="FF7030A0"/>
      <name val="Calibri"/>
      <family val="2"/>
    </font>
    <font>
      <b/>
      <sz val="10"/>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80808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s>
  <borders count="14">
    <border>
      <left/>
      <right/>
      <top/>
      <bottom/>
      <diagonal/>
    </border>
    <border>
      <left/>
      <right style="medium">
        <color rgb="FF666666"/>
      </right>
      <top/>
      <bottom/>
      <diagonal/>
    </border>
    <border>
      <left style="medium">
        <color rgb="FF666666"/>
      </left>
      <right style="medium">
        <color rgb="FF666666"/>
      </right>
      <top/>
      <bottom/>
      <diagonal/>
    </border>
    <border>
      <left/>
      <right style="medium">
        <color rgb="FF666666"/>
      </right>
      <top/>
      <bottom style="medium">
        <color rgb="FF666666"/>
      </bottom>
      <diagonal/>
    </border>
    <border>
      <left/>
      <right/>
      <top/>
      <bottom style="medium">
        <color rgb="FF666666"/>
      </bottom>
      <diagonal/>
    </border>
    <border>
      <left/>
      <right/>
      <top style="medium">
        <color rgb="FF666666"/>
      </top>
      <bottom/>
      <diagonal/>
    </border>
    <border>
      <left style="medium">
        <color rgb="FF666666"/>
      </left>
      <right style="medium">
        <color rgb="FF666666"/>
      </right>
      <top style="medium">
        <color rgb="FF666666"/>
      </top>
      <bottom style="medium">
        <color rgb="FF666666"/>
      </bottom>
      <diagonal/>
    </border>
    <border>
      <left style="medium">
        <color rgb="FF666666"/>
      </left>
      <right style="medium">
        <color rgb="FF666666"/>
      </right>
      <top/>
      <bottom style="medium">
        <color rgb="FF666666"/>
      </bottom>
      <diagonal/>
    </border>
    <border>
      <left/>
      <right/>
      <top style="medium">
        <color rgb="FF666666"/>
      </top>
      <bottom style="medium">
        <color rgb="FF666666"/>
      </bottom>
      <diagonal/>
    </border>
    <border>
      <left style="medium">
        <color rgb="FF666666"/>
      </left>
      <right style="medium">
        <color rgb="FF666666"/>
      </right>
      <top style="medium">
        <color rgb="FF666666"/>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0" xfId="0" applyFont="1" applyAlignment="1">
      <alignment horizontal="center"/>
    </xf>
    <xf numFmtId="10" fontId="2" fillId="0" borderId="0" xfId="1" applyNumberFormat="1" applyFont="1" applyAlignment="1">
      <alignment horizontal="center"/>
    </xf>
    <xf numFmtId="10" fontId="2" fillId="0" borderId="0" xfId="0" applyNumberFormat="1" applyFont="1" applyAlignment="1">
      <alignment horizontal="center"/>
    </xf>
    <xf numFmtId="0" fontId="2" fillId="0" borderId="0" xfId="0" applyFont="1" applyAlignment="1">
      <alignment horizontal="left"/>
    </xf>
    <xf numFmtId="0" fontId="3" fillId="0" borderId="0" xfId="0" applyFont="1" applyAlignment="1">
      <alignment horizontal="center" wrapText="1"/>
    </xf>
    <xf numFmtId="10" fontId="3" fillId="0" borderId="0" xfId="1" applyNumberFormat="1" applyFont="1" applyAlignment="1">
      <alignment horizontal="center" wrapText="1"/>
    </xf>
    <xf numFmtId="10" fontId="3" fillId="0" borderId="0" xfId="0" applyNumberFormat="1" applyFont="1" applyAlignment="1">
      <alignment horizontal="center" wrapText="1"/>
    </xf>
    <xf numFmtId="10" fontId="4" fillId="0" borderId="0" xfId="1" applyNumberFormat="1" applyFont="1" applyAlignment="1">
      <alignment horizontal="center"/>
    </xf>
    <xf numFmtId="0" fontId="6" fillId="0" borderId="0" xfId="0" applyFont="1"/>
    <xf numFmtId="0" fontId="6" fillId="0" borderId="2" xfId="0" applyFont="1" applyBorder="1"/>
    <xf numFmtId="0" fontId="8" fillId="5"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13" fillId="0" borderId="0" xfId="0" applyFont="1"/>
    <xf numFmtId="165" fontId="2" fillId="0" borderId="0" xfId="0" applyNumberFormat="1" applyFont="1" applyAlignment="1">
      <alignment horizontal="center"/>
    </xf>
    <xf numFmtId="0" fontId="2" fillId="7" borderId="0" xfId="0" applyFont="1" applyFill="1" applyAlignment="1">
      <alignment horizontal="center"/>
    </xf>
    <xf numFmtId="10" fontId="2" fillId="7" borderId="0" xfId="0" applyNumberFormat="1" applyFont="1" applyFill="1" applyAlignment="1">
      <alignment horizontal="center"/>
    </xf>
    <xf numFmtId="10" fontId="4" fillId="7" borderId="0" xfId="1" applyNumberFormat="1" applyFont="1" applyFill="1" applyAlignment="1">
      <alignment horizontal="center"/>
    </xf>
    <xf numFmtId="0" fontId="2" fillId="0" borderId="0" xfId="0" applyFont="1" applyAlignment="1">
      <alignment horizontal="left" vertical="top"/>
    </xf>
    <xf numFmtId="0" fontId="15" fillId="0" borderId="0" xfId="0" applyFont="1" applyAlignment="1">
      <alignment horizontal="center"/>
    </xf>
    <xf numFmtId="0" fontId="8" fillId="5" borderId="7" xfId="0" applyFont="1" applyFill="1" applyBorder="1" applyAlignment="1">
      <alignment horizontal="center" vertical="center" wrapText="1"/>
    </xf>
    <xf numFmtId="0" fontId="0" fillId="0" borderId="1" xfId="0" applyBorder="1"/>
    <xf numFmtId="0" fontId="9" fillId="5" borderId="9" xfId="0" applyFont="1" applyFill="1" applyBorder="1" applyAlignment="1">
      <alignment horizontal="center" vertical="center" wrapText="1"/>
    </xf>
    <xf numFmtId="0" fontId="0" fillId="0" borderId="1" xfId="0" applyBorder="1" applyAlignment="1">
      <alignment horizontal="center"/>
    </xf>
    <xf numFmtId="0" fontId="7" fillId="6"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0" fontId="2" fillId="0" borderId="0" xfId="1" applyNumberFormat="1" applyFont="1" applyAlignment="1">
      <alignment horizontal="left"/>
    </xf>
    <xf numFmtId="0" fontId="7" fillId="0" borderId="9" xfId="0" applyFont="1" applyFill="1" applyBorder="1" applyAlignment="1">
      <alignment horizontal="center" vertical="center" wrapText="1"/>
    </xf>
    <xf numFmtId="0" fontId="6" fillId="0" borderId="2" xfId="0" applyFont="1" applyFill="1" applyBorder="1"/>
    <xf numFmtId="10" fontId="14" fillId="0" borderId="3"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0" fontId="6" fillId="8" borderId="2" xfId="0" applyFont="1" applyFill="1" applyBorder="1"/>
    <xf numFmtId="9" fontId="5" fillId="8"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10" fontId="5" fillId="0" borderId="3" xfId="0" applyNumberFormat="1" applyFont="1" applyBorder="1" applyAlignment="1">
      <alignment horizontal="center" vertical="center" wrapText="1"/>
    </xf>
    <xf numFmtId="10" fontId="4" fillId="0" borderId="0" xfId="1" applyNumberFormat="1" applyFont="1" applyFill="1" applyAlignment="1">
      <alignment horizontal="center"/>
    </xf>
    <xf numFmtId="164" fontId="5" fillId="8" borderId="3" xfId="0" applyNumberFormat="1" applyFont="1" applyFill="1" applyBorder="1" applyAlignment="1">
      <alignment horizontal="center" vertical="center" wrapText="1"/>
    </xf>
    <xf numFmtId="0" fontId="17" fillId="0" borderId="1" xfId="0" applyFont="1" applyBorder="1" applyAlignment="1">
      <alignment horizontal="center" vertical="center"/>
    </xf>
    <xf numFmtId="10" fontId="5" fillId="8"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6" fillId="0" borderId="0" xfId="0" applyFon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10" fontId="14" fillId="2" borderId="10" xfId="0" applyNumberFormat="1" applyFont="1" applyFill="1" applyBorder="1" applyAlignment="1">
      <alignment horizontal="center" vertical="center" wrapText="1"/>
    </xf>
    <xf numFmtId="10" fontId="14" fillId="2" borderId="11" xfId="0" applyNumberFormat="1" applyFont="1" applyFill="1" applyBorder="1" applyAlignment="1">
      <alignment horizontal="center" vertical="center" wrapText="1"/>
    </xf>
    <xf numFmtId="10" fontId="14" fillId="4" borderId="12" xfId="1"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10" fontId="14"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xf numFmtId="0" fontId="6" fillId="0" borderId="0" xfId="0" applyFont="1"/>
    <xf numFmtId="0" fontId="6" fillId="0" borderId="2" xfId="0" applyFont="1" applyBorder="1"/>
    <xf numFmtId="0" fontId="8" fillId="5"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13" fillId="0" borderId="0" xfId="0" applyFont="1"/>
    <xf numFmtId="10" fontId="14" fillId="6" borderId="3"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10" fontId="14" fillId="2" borderId="1" xfId="0" applyNumberFormat="1"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0" fontId="14" fillId="6" borderId="6" xfId="0"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xf numFmtId="10" fontId="5" fillId="0" borderId="8" xfId="0" applyNumberFormat="1" applyFont="1" applyBorder="1" applyAlignment="1">
      <alignment horizontal="center" vertical="center" wrapText="1"/>
    </xf>
    <xf numFmtId="10" fontId="5" fillId="0" borderId="4" xfId="0" applyNumberFormat="1" applyFont="1" applyBorder="1" applyAlignment="1">
      <alignment horizontal="center" vertical="center" wrapText="1"/>
    </xf>
    <xf numFmtId="0" fontId="6" fillId="0" borderId="8" xfId="0" applyFont="1" applyBorder="1"/>
    <xf numFmtId="0" fontId="8" fillId="5" borderId="3" xfId="0" applyFont="1" applyFill="1" applyBorder="1" applyAlignment="1">
      <alignment vertical="center" wrapText="1"/>
    </xf>
    <xf numFmtId="0" fontId="9" fillId="5" borderId="9" xfId="0" applyFont="1" applyFill="1" applyBorder="1" applyAlignment="1">
      <alignment horizontal="center" vertical="center" wrapText="1"/>
    </xf>
    <xf numFmtId="0" fontId="0" fillId="0" borderId="1" xfId="0" applyBorder="1" applyAlignment="1">
      <alignment horizontal="center"/>
    </xf>
    <xf numFmtId="0" fontId="7"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10" fontId="14" fillId="0" borderId="3" xfId="0" applyNumberFormat="1" applyFont="1" applyBorder="1" applyAlignment="1">
      <alignment horizontal="center" vertical="center" wrapText="1"/>
    </xf>
    <xf numFmtId="10" fontId="14" fillId="9"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6" fillId="8" borderId="2" xfId="0" applyFont="1" applyFill="1" applyBorder="1"/>
    <xf numFmtId="9" fontId="5" fillId="8" borderId="3" xfId="0" applyNumberFormat="1" applyFont="1" applyFill="1" applyBorder="1" applyAlignment="1">
      <alignment horizontal="center" vertical="center" wrapText="1"/>
    </xf>
    <xf numFmtId="10" fontId="5" fillId="0" borderId="3" xfId="0" applyNumberFormat="1" applyFont="1" applyBorder="1" applyAlignment="1">
      <alignment horizontal="center" vertical="center" wrapText="1"/>
    </xf>
    <xf numFmtId="0" fontId="10" fillId="3" borderId="2" xfId="0" applyFont="1" applyFill="1" applyBorder="1" applyAlignment="1">
      <alignment vertical="center" wrapText="1"/>
    </xf>
    <xf numFmtId="164" fontId="5" fillId="0" borderId="8"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17" fillId="0" borderId="1" xfId="0" applyFont="1" applyBorder="1" applyAlignment="1">
      <alignment horizontal="center" vertical="center"/>
    </xf>
    <xf numFmtId="9" fontId="5" fillId="0" borderId="3"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12" fillId="0" borderId="4" xfId="0" applyFont="1" applyFill="1" applyBorder="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0" xfId="0" applyFont="1"/>
  </cellXfs>
  <cellStyles count="2">
    <cellStyle name="Normal" xfId="0" builtinId="0"/>
    <cellStyle name="Percent" xfId="1" builtinId="5"/>
  </cellStyles>
  <dxfs count="20">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bby\AppData\Local\Packages\Microsoft.MicrosoftEdge_8wekyb3d8bbwe\TempState\Downloads\Examples%20for%20ACLI%20AG49-A%2004-14-20%20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LI 04-14-20 Draft-BIA HB&lt;NIER"/>
    </sheetNames>
    <sheetDataSet>
      <sheetData sheetId="0">
        <row r="2">
          <cell r="A2">
            <v>2.9999999999999905E-2</v>
          </cell>
          <cell r="B2">
            <v>0.14881070992851464</v>
          </cell>
          <cell r="C2">
            <v>1.6123746477026944E-2</v>
          </cell>
          <cell r="D2">
            <v>2.1136363636363637E-2</v>
          </cell>
          <cell r="E2">
            <v>5.0012617159336692E-2</v>
          </cell>
        </row>
        <row r="3">
          <cell r="A3">
            <v>3.4999999999999906E-2</v>
          </cell>
          <cell r="B3">
            <v>0.14706065258141407</v>
          </cell>
          <cell r="C3">
            <v>1.8581634659500561E-2</v>
          </cell>
          <cell r="D3">
            <v>2.445779220779221E-2</v>
          </cell>
          <cell r="E3">
            <v>5.0876157548291646E-2</v>
          </cell>
        </row>
        <row r="4">
          <cell r="A4">
            <v>3.9999999999999904E-2</v>
          </cell>
          <cell r="B4">
            <v>0.14531059523431314</v>
          </cell>
          <cell r="C4">
            <v>2.0941207314675234E-2</v>
          </cell>
          <cell r="D4">
            <v>2.7779220779220782E-2</v>
          </cell>
          <cell r="E4">
            <v>5.1838013464545543E-2</v>
          </cell>
        </row>
        <row r="5">
          <cell r="A5">
            <v>4.4999999999999901E-2</v>
          </cell>
          <cell r="B5">
            <v>0.14356053788721232</v>
          </cell>
          <cell r="C5">
            <v>2.3300779969849906E-2</v>
          </cell>
          <cell r="D5">
            <v>3.1000000000000003E-2</v>
          </cell>
          <cell r="E5">
            <v>5.2699220030150096E-2</v>
          </cell>
        </row>
        <row r="6">
          <cell r="A6">
            <v>4.9999999999999899E-2</v>
          </cell>
          <cell r="B6">
            <v>0.14181048054011114</v>
          </cell>
          <cell r="C6">
            <v>2.5463721570426694E-2</v>
          </cell>
          <cell r="D6">
            <v>3.412012987012987E-2</v>
          </cell>
          <cell r="E6">
            <v>5.3656408299703175E-2</v>
          </cell>
        </row>
        <row r="7">
          <cell r="A7">
            <v>5.4999999999999896E-2</v>
          </cell>
          <cell r="B7">
            <v>0.14023924233518661</v>
          </cell>
          <cell r="C7">
            <v>2.7626663171003478E-2</v>
          </cell>
          <cell r="D7">
            <v>3.724025974025974E-2</v>
          </cell>
          <cell r="E7">
            <v>5.4613596569256261E-2</v>
          </cell>
        </row>
        <row r="8">
          <cell r="A8">
            <v>5.9999999999999894E-2</v>
          </cell>
          <cell r="B8">
            <v>0.13866800413026195</v>
          </cell>
          <cell r="C8">
            <v>2.9592973716982371E-2</v>
          </cell>
          <cell r="D8">
            <v>4.036038961038961E-2</v>
          </cell>
          <cell r="E8">
            <v>5.5767415893407238E-2</v>
          </cell>
        </row>
        <row r="9">
          <cell r="A9">
            <v>6.4999999999999891E-2</v>
          </cell>
          <cell r="B9">
            <v>0.13709676592533729</v>
          </cell>
          <cell r="C9">
            <v>3.1559284262961264E-2</v>
          </cell>
          <cell r="D9">
            <v>4.3279220779220778E-2</v>
          </cell>
          <cell r="E9">
            <v>5.6719936516259513E-2</v>
          </cell>
        </row>
        <row r="10">
          <cell r="A10">
            <v>6.9999999999999896E-2</v>
          </cell>
          <cell r="B10">
            <v>0.1355255277204131</v>
          </cell>
          <cell r="C10">
            <v>3.3427279281641221E-2</v>
          </cell>
          <cell r="D10">
            <v>4.6198051948051953E-2</v>
          </cell>
          <cell r="E10">
            <v>5.777077266641073E-2</v>
          </cell>
        </row>
        <row r="11">
          <cell r="A11">
            <v>7.49999999999999E-2</v>
          </cell>
          <cell r="B11">
            <v>0.13395428951548868</v>
          </cell>
          <cell r="C11">
            <v>3.5196958773022223E-2</v>
          </cell>
          <cell r="D11">
            <v>4.901623376623377E-2</v>
          </cell>
          <cell r="E11">
            <v>5.8819274993211546E-2</v>
          </cell>
        </row>
        <row r="12">
          <cell r="A12">
            <v>7.9999999999999905E-2</v>
          </cell>
          <cell r="B12">
            <v>0.13238305131056399</v>
          </cell>
          <cell r="C12">
            <v>3.6966638264403232E-2</v>
          </cell>
          <cell r="D12">
            <v>5.1834415584415587E-2</v>
          </cell>
          <cell r="E12">
            <v>5.9867777320012354E-2</v>
          </cell>
          <cell r="H12">
            <v>4.4999999999999998E-2</v>
          </cell>
        </row>
        <row r="13">
          <cell r="A13">
            <v>8.4999999999999909E-2</v>
          </cell>
          <cell r="B13">
            <v>0.1308118131056393</v>
          </cell>
          <cell r="C13">
            <v>3.8638002228485291E-2</v>
          </cell>
          <cell r="D13">
            <v>5.4451298701298709E-2</v>
          </cell>
          <cell r="E13">
            <v>6.0813296472813416E-2</v>
          </cell>
        </row>
        <row r="14">
          <cell r="A14">
            <v>8.9999999999999913E-2</v>
          </cell>
          <cell r="B14">
            <v>0.12924057490071517</v>
          </cell>
          <cell r="C14">
            <v>4.0211050665268408E-2</v>
          </cell>
          <cell r="D14">
            <v>5.7068181818181823E-2</v>
          </cell>
          <cell r="E14">
            <v>6.1857131152913414E-2</v>
          </cell>
        </row>
        <row r="15">
          <cell r="A15">
            <v>9.4999999999999918E-2</v>
          </cell>
          <cell r="B15">
            <v>0.1276693366957905</v>
          </cell>
          <cell r="C15">
            <v>4.1685783574752576E-2</v>
          </cell>
          <cell r="D15">
            <v>5.9584415584415587E-2</v>
          </cell>
          <cell r="E15">
            <v>6.2898632009663002E-2</v>
          </cell>
        </row>
        <row r="16">
          <cell r="A16">
            <v>9.7500000000000003E-2</v>
          </cell>
          <cell r="B16">
            <v>0.12688371759332812</v>
          </cell>
          <cell r="C16">
            <v>4.2373992265845192E-2</v>
          </cell>
          <cell r="D16">
            <v>6.07922077922078E-2</v>
          </cell>
          <cell r="E16">
            <v>6.3418215526362606E-2</v>
          </cell>
        </row>
        <row r="17">
          <cell r="A17">
            <v>9.9999999999999922E-2</v>
          </cell>
          <cell r="B17">
            <v>0.1260980984908657</v>
          </cell>
          <cell r="C17">
            <v>4.3062200956937802E-2</v>
          </cell>
          <cell r="D17">
            <v>6.2000000000000006E-2</v>
          </cell>
          <cell r="E17">
            <v>6.393779904306221E-2</v>
          </cell>
        </row>
        <row r="18">
          <cell r="A18">
            <v>0.10499999999999993</v>
          </cell>
          <cell r="B18">
            <v>0.12531601957903105</v>
          </cell>
          <cell r="C18">
            <v>4.4241987284525143E-2</v>
          </cell>
          <cell r="D18">
            <v>6.4314935064935061E-2</v>
          </cell>
          <cell r="E18">
            <v>6.5072947780409923E-2</v>
          </cell>
        </row>
        <row r="19">
          <cell r="A19">
            <v>0.1075</v>
          </cell>
          <cell r="B19">
            <v>0.12453394066719622</v>
          </cell>
          <cell r="C19">
            <v>4.483188044831881E-2</v>
          </cell>
          <cell r="D19">
            <v>6.5522727272727288E-2</v>
          </cell>
          <cell r="E19">
            <v>6.5690846824408483E-2</v>
          </cell>
        </row>
        <row r="20">
          <cell r="A20">
            <v>0.10999999999999993</v>
          </cell>
          <cell r="B20">
            <v>0.1237518617553614</v>
          </cell>
          <cell r="C20">
            <v>4.5225142557514586E-2</v>
          </cell>
          <cell r="D20">
            <v>6.6629870129870122E-2</v>
          </cell>
          <cell r="E20">
            <v>6.6404727572355535E-2</v>
          </cell>
        </row>
        <row r="21">
          <cell r="A21">
            <v>0.11499999999999994</v>
          </cell>
          <cell r="B21">
            <v>0.12296978284352664</v>
          </cell>
          <cell r="C21">
            <v>4.6306613357802985E-2</v>
          </cell>
          <cell r="D21">
            <v>6.8844155844155847E-2</v>
          </cell>
          <cell r="E21">
            <v>6.7537542486352853E-2</v>
          </cell>
        </row>
        <row r="22">
          <cell r="A22">
            <v>0.11999999999999994</v>
          </cell>
          <cell r="B22">
            <v>0.12218770393169179</v>
          </cell>
          <cell r="C22">
            <v>4.7191453103493486E-2</v>
          </cell>
          <cell r="D22">
            <v>7.0857142857142869E-2</v>
          </cell>
          <cell r="E22">
            <v>6.8665689753649381E-2</v>
          </cell>
        </row>
        <row r="23">
          <cell r="A23">
            <v>0.12499999999999994</v>
          </cell>
          <cell r="B23">
            <v>0.12140562501985695</v>
          </cell>
          <cell r="C23">
            <v>4.8076292849183987E-2</v>
          </cell>
          <cell r="D23">
            <v>7.2970779220779214E-2</v>
          </cell>
          <cell r="E23">
            <v>6.9894486371595232E-2</v>
          </cell>
        </row>
        <row r="24">
          <cell r="A24">
            <v>0.12999999999999995</v>
          </cell>
          <cell r="B24">
            <v>0.1206235461080222</v>
          </cell>
          <cell r="C24">
            <v>4.8961132594874487E-2</v>
          </cell>
          <cell r="D24">
            <v>7.4883116883116885E-2</v>
          </cell>
          <cell r="E24">
            <v>7.0921984288242396E-2</v>
          </cell>
        </row>
        <row r="25">
          <cell r="A25">
            <v>0.13499999999999995</v>
          </cell>
          <cell r="B25">
            <v>0.11984146719618746</v>
          </cell>
          <cell r="C25">
            <v>4.9747656813266046E-2</v>
          </cell>
          <cell r="D25">
            <v>7.6795454545454556E-2</v>
          </cell>
          <cell r="E25">
            <v>7.2047797732188501E-2</v>
          </cell>
        </row>
        <row r="26">
          <cell r="A26">
            <v>0.13999999999999996</v>
          </cell>
          <cell r="B26">
            <v>0.11905938828435253</v>
          </cell>
          <cell r="C26">
            <v>5.0435865504358662E-2</v>
          </cell>
          <cell r="D26">
            <v>7.8607142857142862E-2</v>
          </cell>
          <cell r="E26">
            <v>7.3171277352784198E-2</v>
          </cell>
        </row>
        <row r="27">
          <cell r="A27">
            <v>0.14499999999999996</v>
          </cell>
          <cell r="B27">
            <v>0.11827730937251787</v>
          </cell>
          <cell r="C27">
            <v>5.1124074195451272E-2</v>
          </cell>
          <cell r="D27">
            <v>8.0318181818181816E-2</v>
          </cell>
          <cell r="E27">
            <v>7.4194107622730543E-2</v>
          </cell>
        </row>
        <row r="28">
          <cell r="A28">
            <v>0.14999999999999997</v>
          </cell>
          <cell r="B28">
            <v>0.11749523046068309</v>
          </cell>
          <cell r="C28">
            <v>5.1812282886543888E-2</v>
          </cell>
          <cell r="D28">
            <v>8.2029220779220785E-2</v>
          </cell>
          <cell r="E28">
            <v>7.5216937892676888E-2</v>
          </cell>
        </row>
        <row r="29">
          <cell r="A29">
            <v>0.15499999999999997</v>
          </cell>
          <cell r="B29">
            <v>0.11671315154884811</v>
          </cell>
          <cell r="C29">
            <v>5.2402176050337555E-2</v>
          </cell>
          <cell r="D29">
            <v>8.3639610389610389E-2</v>
          </cell>
          <cell r="E29">
            <v>7.6237434339272825E-2</v>
          </cell>
        </row>
        <row r="30">
          <cell r="A30">
            <v>0.15999999999999998</v>
          </cell>
          <cell r="B30">
            <v>0.11593107263701347</v>
          </cell>
          <cell r="C30">
            <v>5.289375368683228E-2</v>
          </cell>
          <cell r="D30">
            <v>8.5149350649350655E-2</v>
          </cell>
          <cell r="E30">
            <v>7.725559696251838E-2</v>
          </cell>
        </row>
        <row r="31">
          <cell r="A31">
            <v>0.16499999999999998</v>
          </cell>
          <cell r="B31">
            <v>0.11514899372517874</v>
          </cell>
          <cell r="C31">
            <v>5.3483646850625947E-2</v>
          </cell>
          <cell r="D31">
            <v>8.6659090909090908E-2</v>
          </cell>
          <cell r="E31">
            <v>7.8175444058464966E-2</v>
          </cell>
        </row>
        <row r="32">
          <cell r="A32">
            <v>0.16999999999999998</v>
          </cell>
          <cell r="B32">
            <v>0.11436691481334403</v>
          </cell>
          <cell r="C32">
            <v>5.387690895982173E-2</v>
          </cell>
          <cell r="D32">
            <v>8.8168831168831174E-2</v>
          </cell>
          <cell r="E32">
            <v>7.9291922209009436E-2</v>
          </cell>
        </row>
        <row r="33">
          <cell r="A33">
            <v>0.17499999999999999</v>
          </cell>
          <cell r="B33">
            <v>0.11358483590150914</v>
          </cell>
          <cell r="C33">
            <v>5.4368486596316455E-2</v>
          </cell>
          <cell r="D33">
            <v>8.9577922077922076E-2</v>
          </cell>
          <cell r="E33">
            <v>8.0209435481605612E-2</v>
          </cell>
        </row>
        <row r="34">
          <cell r="A34">
            <v>0.18</v>
          </cell>
          <cell r="B34">
            <v>0.11358483590150914</v>
          </cell>
          <cell r="C34">
            <v>5.4761748705512231E-2</v>
          </cell>
          <cell r="D34">
            <v>9.088636363636364E-2</v>
          </cell>
          <cell r="E34">
            <v>8.1124614930851408E-2</v>
          </cell>
        </row>
        <row r="35">
          <cell r="A35" t="str">
            <v>18% / 1% Floor</v>
          </cell>
          <cell r="C35">
            <v>4.9157763649472386E-2</v>
          </cell>
          <cell r="D35">
            <v>9.3905844155844159E-2</v>
          </cell>
          <cell r="E35">
            <v>8.9748080506371772E-2</v>
          </cell>
        </row>
        <row r="36">
          <cell r="A36" t="str">
            <v>7% / 1% Floor</v>
          </cell>
          <cell r="C36">
            <v>2.7823294225601366E-2</v>
          </cell>
          <cell r="D36">
            <v>4.9116883116883121E-2</v>
          </cell>
          <cell r="E36">
            <v>6.6293588891281757E-2</v>
          </cell>
        </row>
        <row r="37">
          <cell r="A37" t="str">
            <v>9% / 1% Floor</v>
          </cell>
          <cell r="C37">
            <v>3.4508750081929614E-2</v>
          </cell>
          <cell r="D37">
            <v>5.9987012987012991E-2</v>
          </cell>
          <cell r="E37">
            <v>7.0478262905083383E-2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2BDA-6327-4390-B5C7-BC7C5A9283B6}">
  <dimension ref="A1:L38"/>
  <sheetViews>
    <sheetView topLeftCell="A7" workbookViewId="0">
      <selection activeCell="A3" sqref="A3:E38"/>
    </sheetView>
  </sheetViews>
  <sheetFormatPr defaultColWidth="11.5703125" defaultRowHeight="15"/>
  <cols>
    <col min="1" max="1" width="11.5703125" style="2"/>
    <col min="2" max="4" width="11.5703125" style="3"/>
    <col min="5" max="5" width="12.5703125" style="3" bestFit="1" customWidth="1"/>
    <col min="6" max="6" width="26.140625" style="3" customWidth="1"/>
    <col min="7" max="7" width="14.28515625" style="1" bestFit="1" customWidth="1"/>
    <col min="8" max="16384" width="11.5703125" style="1"/>
  </cols>
  <sheetData>
    <row r="1" spans="1:12" s="5" customFormat="1" ht="63">
      <c r="A1" s="6" t="s">
        <v>4</v>
      </c>
      <c r="B1" s="7" t="s">
        <v>10</v>
      </c>
      <c r="C1" s="7" t="s">
        <v>6</v>
      </c>
      <c r="D1" s="7" t="s">
        <v>7</v>
      </c>
      <c r="E1" s="7" t="s">
        <v>2</v>
      </c>
      <c r="F1" s="7" t="s">
        <v>61</v>
      </c>
      <c r="H1" s="5" t="s">
        <v>8</v>
      </c>
      <c r="I1" s="5" t="s">
        <v>9</v>
      </c>
      <c r="J1" s="5" t="s">
        <v>5</v>
      </c>
      <c r="K1" s="5" t="s">
        <v>12</v>
      </c>
      <c r="L1" s="5" t="s">
        <v>3</v>
      </c>
    </row>
    <row r="2" spans="1:12">
      <c r="A2" s="2" t="s">
        <v>56</v>
      </c>
      <c r="B2" s="2">
        <v>0.15956601747418611</v>
      </c>
      <c r="C2" s="3">
        <v>5.8999999999999997E-2</v>
      </c>
      <c r="D2" s="3">
        <v>0.1142</v>
      </c>
      <c r="E2" s="2">
        <f t="shared" ref="E2:E38" si="0">K$2-C2+D2</f>
        <v>0.1002</v>
      </c>
      <c r="F2" s="2">
        <f>D2/C2-1</f>
        <v>0.93559322033898318</v>
      </c>
      <c r="H2" s="8">
        <v>1.254826518063029E-2</v>
      </c>
      <c r="I2" s="8">
        <v>1.9907456386162779E-2</v>
      </c>
      <c r="J2" s="2">
        <v>0.15956601747418611</v>
      </c>
      <c r="K2" s="2">
        <f>[0]!NIER</f>
        <v>4.4999999999999998E-2</v>
      </c>
      <c r="L2" s="2">
        <f>1.45*K2</f>
        <v>6.5250000000000002E-2</v>
      </c>
    </row>
    <row r="3" spans="1:12">
      <c r="A3" s="2">
        <v>0.03</v>
      </c>
      <c r="B3" s="8">
        <v>0.14881070992851464</v>
      </c>
      <c r="C3" s="17">
        <v>1.6123746477026944E-2</v>
      </c>
      <c r="D3" s="17">
        <v>2.1136363636363637E-2</v>
      </c>
      <c r="E3" s="2">
        <f t="shared" si="0"/>
        <v>5.0012617159336692E-2</v>
      </c>
      <c r="F3" s="2">
        <f t="shared" ref="F3:F38" si="1">D3/C3-1</f>
        <v>0.31088414634146311</v>
      </c>
    </row>
    <row r="4" spans="1:12">
      <c r="A4" s="2">
        <v>3.5000000000000003E-2</v>
      </c>
      <c r="B4" s="8">
        <v>0.14706065258141407</v>
      </c>
      <c r="C4" s="17">
        <v>1.8581634659500561E-2</v>
      </c>
      <c r="D4" s="17">
        <v>2.445779220779221E-2</v>
      </c>
      <c r="E4" s="2">
        <f t="shared" si="0"/>
        <v>5.0876157548291646E-2</v>
      </c>
      <c r="F4" s="2">
        <f t="shared" si="1"/>
        <v>0.31623469387755088</v>
      </c>
      <c r="H4" s="4" t="s">
        <v>11</v>
      </c>
    </row>
    <row r="5" spans="1:12">
      <c r="A5" s="2">
        <v>0.04</v>
      </c>
      <c r="B5" s="8">
        <v>0.14531059523431314</v>
      </c>
      <c r="C5" s="17">
        <v>2.0941207314675234E-2</v>
      </c>
      <c r="D5" s="17">
        <v>2.7779220779220782E-2</v>
      </c>
      <c r="E5" s="2">
        <f t="shared" si="0"/>
        <v>5.1838013464545543E-2</v>
      </c>
      <c r="F5" s="2">
        <f t="shared" si="1"/>
        <v>0.32653386988598254</v>
      </c>
      <c r="H5" s="4" t="s">
        <v>13</v>
      </c>
    </row>
    <row r="6" spans="1:12">
      <c r="A6" s="2">
        <v>4.4999999999999998E-2</v>
      </c>
      <c r="B6" s="36">
        <v>0.14356053788721232</v>
      </c>
      <c r="C6" s="17">
        <v>2.3300779969849906E-2</v>
      </c>
      <c r="D6" s="17">
        <v>3.1000000000000003E-2</v>
      </c>
      <c r="E6" s="2">
        <f t="shared" si="0"/>
        <v>5.2699220030150096E-2</v>
      </c>
      <c r="F6" s="2">
        <f t="shared" si="1"/>
        <v>0.33042756680731378</v>
      </c>
      <c r="H6" s="4" t="s">
        <v>14</v>
      </c>
    </row>
    <row r="7" spans="1:12">
      <c r="A7" s="2">
        <v>0.05</v>
      </c>
      <c r="B7" s="36">
        <v>0.14181048054011114</v>
      </c>
      <c r="C7" s="17">
        <v>2.5463721570426694E-2</v>
      </c>
      <c r="D7" s="17">
        <v>3.412012987012987E-2</v>
      </c>
      <c r="E7" s="2">
        <f t="shared" si="0"/>
        <v>5.3656408299703175E-2</v>
      </c>
      <c r="F7" s="2">
        <f t="shared" si="1"/>
        <v>0.33995063430777694</v>
      </c>
      <c r="H7" s="4" t="s">
        <v>53</v>
      </c>
    </row>
    <row r="8" spans="1:12">
      <c r="A8" s="2">
        <v>5.5E-2</v>
      </c>
      <c r="B8" s="36">
        <v>0.14023924233518661</v>
      </c>
      <c r="C8" s="17">
        <v>2.7626663171003478E-2</v>
      </c>
      <c r="D8" s="17">
        <v>3.724025974025974E-2</v>
      </c>
      <c r="E8" s="2">
        <f t="shared" si="0"/>
        <v>5.4613596569256261E-2</v>
      </c>
      <c r="F8" s="2">
        <f t="shared" si="1"/>
        <v>0.34798254533129946</v>
      </c>
      <c r="H8" s="4" t="s">
        <v>54</v>
      </c>
    </row>
    <row r="9" spans="1:12">
      <c r="A9" s="2">
        <v>0.06</v>
      </c>
      <c r="B9" s="36">
        <v>0.13866800413026195</v>
      </c>
      <c r="C9" s="17">
        <v>2.9592973716982371E-2</v>
      </c>
      <c r="D9" s="17">
        <v>4.036038961038961E-2</v>
      </c>
      <c r="E9" s="2">
        <f t="shared" si="0"/>
        <v>5.5767415893407238E-2</v>
      </c>
      <c r="F9" s="2">
        <f t="shared" si="1"/>
        <v>0.36385041923746231</v>
      </c>
    </row>
    <row r="10" spans="1:12">
      <c r="A10" s="2">
        <v>6.5000000000000002E-2</v>
      </c>
      <c r="B10" s="36">
        <v>0.13709676592533729</v>
      </c>
      <c r="C10" s="17">
        <v>3.1559284262961264E-2</v>
      </c>
      <c r="D10" s="17">
        <v>4.3279220779220778E-2</v>
      </c>
      <c r="E10" s="2">
        <f t="shared" si="0"/>
        <v>5.6719936516259513E-2</v>
      </c>
      <c r="F10" s="2">
        <f t="shared" si="1"/>
        <v>0.37136255748405267</v>
      </c>
    </row>
    <row r="11" spans="1:12">
      <c r="A11" s="2">
        <v>7.0000000000000007E-2</v>
      </c>
      <c r="B11" s="36">
        <v>0.1355255277204131</v>
      </c>
      <c r="C11" s="17">
        <v>3.3427279281641221E-2</v>
      </c>
      <c r="D11" s="17">
        <v>4.6198051948051953E-2</v>
      </c>
      <c r="E11" s="2">
        <f t="shared" si="0"/>
        <v>5.777077266641073E-2</v>
      </c>
      <c r="F11" s="2">
        <f t="shared" si="1"/>
        <v>0.38204642857142845</v>
      </c>
    </row>
    <row r="12" spans="1:12">
      <c r="A12" s="2">
        <v>7.4999999999999997E-2</v>
      </c>
      <c r="B12" s="36">
        <v>0.13395428951548868</v>
      </c>
      <c r="C12" s="17">
        <v>3.5196958773022223E-2</v>
      </c>
      <c r="D12" s="17">
        <v>4.901623376623377E-2</v>
      </c>
      <c r="E12" s="2">
        <f t="shared" si="0"/>
        <v>5.8819274993211546E-2</v>
      </c>
      <c r="F12" s="2">
        <f t="shared" si="1"/>
        <v>0.39262696195796742</v>
      </c>
      <c r="H12" s="15" t="s">
        <v>1</v>
      </c>
      <c r="I12" s="16">
        <v>4.4999999999999998E-2</v>
      </c>
    </row>
    <row r="13" spans="1:12">
      <c r="A13" s="2">
        <v>0.08</v>
      </c>
      <c r="B13" s="36">
        <v>0.13238305131056399</v>
      </c>
      <c r="C13" s="17">
        <v>3.6966638264403232E-2</v>
      </c>
      <c r="D13" s="17">
        <v>5.1834415584415587E-2</v>
      </c>
      <c r="E13" s="2">
        <f t="shared" si="0"/>
        <v>5.9867777320012354E-2</v>
      </c>
      <c r="F13" s="2">
        <f t="shared" si="1"/>
        <v>0.40219446555217808</v>
      </c>
    </row>
    <row r="14" spans="1:12">
      <c r="A14" s="2">
        <v>8.5000000000000006E-2</v>
      </c>
      <c r="B14" s="36">
        <v>0.1308118131056393</v>
      </c>
      <c r="C14" s="17">
        <v>3.8638002228485291E-2</v>
      </c>
      <c r="D14" s="17">
        <v>5.4451298701298709E-2</v>
      </c>
      <c r="E14" s="2">
        <f t="shared" si="0"/>
        <v>6.0813296472813416E-2</v>
      </c>
      <c r="F14" s="2">
        <f t="shared" si="1"/>
        <v>0.40926796316490965</v>
      </c>
    </row>
    <row r="15" spans="1:12">
      <c r="A15" s="2">
        <v>0.09</v>
      </c>
      <c r="B15" s="36">
        <v>0.12924057490071517</v>
      </c>
      <c r="C15" s="17">
        <v>4.0211050665268408E-2</v>
      </c>
      <c r="D15" s="17">
        <v>5.7068181818181823E-2</v>
      </c>
      <c r="E15" s="2">
        <f t="shared" si="0"/>
        <v>6.1857131152913414E-2</v>
      </c>
      <c r="F15" s="2">
        <f t="shared" si="1"/>
        <v>0.4192163814180927</v>
      </c>
    </row>
    <row r="16" spans="1:12">
      <c r="A16" s="2">
        <v>9.5000000000000001E-2</v>
      </c>
      <c r="B16" s="36">
        <v>0.1276693366957905</v>
      </c>
      <c r="C16" s="17">
        <v>4.1685783574752576E-2</v>
      </c>
      <c r="D16" s="17">
        <v>5.9584415584415587E-2</v>
      </c>
      <c r="E16" s="2">
        <f t="shared" si="0"/>
        <v>6.2898632009663002E-2</v>
      </c>
      <c r="F16" s="2">
        <f t="shared" si="1"/>
        <v>0.42937017070979322</v>
      </c>
      <c r="G16" s="14"/>
      <c r="H16" s="19"/>
    </row>
    <row r="17" spans="1:8">
      <c r="A17" s="2">
        <v>9.7500000000000003E-2</v>
      </c>
      <c r="B17" s="36">
        <f>AVERAGE(B16,B18)</f>
        <v>0.12688371759332812</v>
      </c>
      <c r="C17" s="17">
        <v>4.2373992265845192E-2</v>
      </c>
      <c r="D17" s="17">
        <v>6.07922077922078E-2</v>
      </c>
      <c r="E17" s="2">
        <f t="shared" si="0"/>
        <v>6.3418215526362606E-2</v>
      </c>
      <c r="F17" s="2">
        <f t="shared" si="1"/>
        <v>0.43465849077449992</v>
      </c>
      <c r="G17" s="18"/>
      <c r="H17" s="4"/>
    </row>
    <row r="18" spans="1:8">
      <c r="A18" s="2">
        <v>0.1</v>
      </c>
      <c r="B18" s="36">
        <v>0.1260980984908657</v>
      </c>
      <c r="C18" s="17">
        <v>4.3062200956937802E-2</v>
      </c>
      <c r="D18" s="17">
        <v>6.2000000000000006E-2</v>
      </c>
      <c r="E18" s="2">
        <f t="shared" si="0"/>
        <v>6.393779904306221E-2</v>
      </c>
      <c r="F18" s="2">
        <f t="shared" si="1"/>
        <v>0.43977777777777782</v>
      </c>
      <c r="H18" s="4"/>
    </row>
    <row r="19" spans="1:8">
      <c r="A19" s="2">
        <v>0.10499999999999993</v>
      </c>
      <c r="B19" s="36">
        <v>0.12531601957903105</v>
      </c>
      <c r="C19" s="17">
        <v>4.4241987284525143E-2</v>
      </c>
      <c r="D19" s="17">
        <v>6.4314935064935061E-2</v>
      </c>
      <c r="E19" s="2">
        <f t="shared" si="0"/>
        <v>6.5072947780409923E-2</v>
      </c>
      <c r="F19" s="2">
        <f t="shared" si="1"/>
        <v>0.45370809523809497</v>
      </c>
      <c r="H19" s="4"/>
    </row>
    <row r="20" spans="1:8">
      <c r="A20" s="2">
        <v>0.1075</v>
      </c>
      <c r="B20" s="36">
        <f>AVERAGE(B19,B21)</f>
        <v>0.12453394066719622</v>
      </c>
      <c r="C20" s="17">
        <v>4.483188044831881E-2</v>
      </c>
      <c r="D20" s="17">
        <v>6.5522727272727288E-2</v>
      </c>
      <c r="E20" s="2">
        <f t="shared" si="0"/>
        <v>6.5690846824408483E-2</v>
      </c>
      <c r="F20" s="2">
        <f t="shared" si="1"/>
        <v>0.46152083333333338</v>
      </c>
      <c r="H20" s="4"/>
    </row>
    <row r="21" spans="1:8">
      <c r="A21" s="2">
        <v>0.10999999999999993</v>
      </c>
      <c r="B21" s="36">
        <v>0.1237518617553614</v>
      </c>
      <c r="C21" s="17">
        <v>4.5225142557514586E-2</v>
      </c>
      <c r="D21" s="17">
        <v>6.6629870129870122E-2</v>
      </c>
      <c r="E21" s="2">
        <f t="shared" si="0"/>
        <v>6.6404727572355535E-2</v>
      </c>
      <c r="F21" s="2">
        <f t="shared" si="1"/>
        <v>0.47329265010351951</v>
      </c>
      <c r="H21" s="4"/>
    </row>
    <row r="22" spans="1:8">
      <c r="A22" s="2">
        <v>0.11499999999999994</v>
      </c>
      <c r="B22" s="36">
        <v>0.12296978284352664</v>
      </c>
      <c r="C22" s="17">
        <v>4.6306613357802985E-2</v>
      </c>
      <c r="D22" s="17">
        <v>6.8844155844155847E-2</v>
      </c>
      <c r="E22" s="2">
        <f t="shared" si="0"/>
        <v>6.7537542486352853E-2</v>
      </c>
      <c r="F22" s="2">
        <f t="shared" si="1"/>
        <v>0.48670245677888957</v>
      </c>
    </row>
    <row r="23" spans="1:8">
      <c r="A23" s="2">
        <v>0.11999999999999994</v>
      </c>
      <c r="B23" s="36">
        <v>0.12218770393169179</v>
      </c>
      <c r="C23" s="17">
        <v>4.7191453103493486E-2</v>
      </c>
      <c r="D23" s="17">
        <v>7.0857142857142869E-2</v>
      </c>
      <c r="E23" s="2">
        <f t="shared" si="0"/>
        <v>6.8665689753649381E-2</v>
      </c>
      <c r="F23" s="2">
        <f t="shared" si="1"/>
        <v>0.50148253968253975</v>
      </c>
      <c r="H23" s="19"/>
    </row>
    <row r="24" spans="1:8">
      <c r="A24" s="2">
        <v>0.12499999999999994</v>
      </c>
      <c r="B24" s="36">
        <v>0.12140562501985695</v>
      </c>
      <c r="C24" s="17">
        <v>4.8076292849183987E-2</v>
      </c>
      <c r="D24" s="17">
        <v>7.2970779220779214E-2</v>
      </c>
      <c r="E24" s="2">
        <f t="shared" si="0"/>
        <v>6.9894486371595232E-2</v>
      </c>
      <c r="F24" s="2">
        <f t="shared" si="1"/>
        <v>0.51781210439185865</v>
      </c>
      <c r="H24" s="4"/>
    </row>
    <row r="25" spans="1:8">
      <c r="A25" s="2">
        <v>0.12999999999999995</v>
      </c>
      <c r="B25" s="8">
        <v>0.1206235461080222</v>
      </c>
      <c r="C25" s="17">
        <v>4.8961132594874487E-2</v>
      </c>
      <c r="D25" s="17">
        <v>7.4883116883116885E-2</v>
      </c>
      <c r="E25" s="2">
        <f t="shared" si="0"/>
        <v>7.0921984288242396E-2</v>
      </c>
      <c r="F25" s="2">
        <f t="shared" si="1"/>
        <v>0.52944004589787719</v>
      </c>
      <c r="H25" s="4"/>
    </row>
    <row r="26" spans="1:8">
      <c r="A26" s="2">
        <v>0.13499999999999995</v>
      </c>
      <c r="B26" s="8">
        <v>0.11984146719618746</v>
      </c>
      <c r="C26" s="17">
        <v>4.9747656813266046E-2</v>
      </c>
      <c r="D26" s="17">
        <v>7.6795454545454556E-2</v>
      </c>
      <c r="E26" s="2">
        <f t="shared" si="0"/>
        <v>7.2047797732188501E-2</v>
      </c>
      <c r="F26" s="2">
        <f t="shared" si="1"/>
        <v>0.54369993412384732</v>
      </c>
      <c r="H26" s="19"/>
    </row>
    <row r="27" spans="1:8">
      <c r="A27" s="2">
        <v>0.13999999999999996</v>
      </c>
      <c r="B27" s="8">
        <v>0.11905938828435253</v>
      </c>
      <c r="C27" s="17">
        <v>5.0435865504358662E-2</v>
      </c>
      <c r="D27" s="17">
        <v>7.8607142857142862E-2</v>
      </c>
      <c r="E27" s="2">
        <f t="shared" si="0"/>
        <v>7.3171277352784198E-2</v>
      </c>
      <c r="F27" s="2">
        <f t="shared" si="1"/>
        <v>0.55855643738977068</v>
      </c>
      <c r="H27" s="4"/>
    </row>
    <row r="28" spans="1:8">
      <c r="A28" s="2">
        <v>0.14499999999999996</v>
      </c>
      <c r="B28" s="8">
        <v>0.11827730937251787</v>
      </c>
      <c r="C28" s="17">
        <v>5.1124074195451272E-2</v>
      </c>
      <c r="D28" s="17">
        <v>8.0318181818181816E-2</v>
      </c>
      <c r="E28" s="2">
        <f t="shared" si="0"/>
        <v>7.4194107622730543E-2</v>
      </c>
      <c r="F28" s="2">
        <f t="shared" si="1"/>
        <v>0.57104423076923072</v>
      </c>
      <c r="H28" s="4"/>
    </row>
    <row r="29" spans="1:8">
      <c r="A29" s="2">
        <v>0.14999999999999997</v>
      </c>
      <c r="B29" s="8">
        <v>0.11749523046068309</v>
      </c>
      <c r="C29" s="17">
        <v>5.1812282886543888E-2</v>
      </c>
      <c r="D29" s="17">
        <v>8.2029220779220785E-2</v>
      </c>
      <c r="E29" s="2">
        <f t="shared" si="0"/>
        <v>7.5216937892676888E-2</v>
      </c>
      <c r="F29" s="2">
        <f t="shared" si="1"/>
        <v>0.58320028011204483</v>
      </c>
      <c r="H29" s="4"/>
    </row>
    <row r="30" spans="1:8">
      <c r="A30" s="2">
        <v>0.15499999999999997</v>
      </c>
      <c r="B30" s="8">
        <v>0.11671315154884811</v>
      </c>
      <c r="C30" s="17">
        <v>5.2402176050337555E-2</v>
      </c>
      <c r="D30" s="17">
        <v>8.3639610389610389E-2</v>
      </c>
      <c r="E30" s="2">
        <f t="shared" si="0"/>
        <v>7.6237434339272825E-2</v>
      </c>
      <c r="F30" s="2">
        <f t="shared" si="1"/>
        <v>0.59610948807290254</v>
      </c>
      <c r="H30" s="4"/>
    </row>
    <row r="31" spans="1:8">
      <c r="A31" s="2">
        <v>0.15999999999999998</v>
      </c>
      <c r="B31" s="8">
        <v>0.11593107263701347</v>
      </c>
      <c r="C31" s="17">
        <v>5.289375368683228E-2</v>
      </c>
      <c r="D31" s="17">
        <v>8.5149350649350655E-2</v>
      </c>
      <c r="E31" s="2">
        <f t="shared" si="0"/>
        <v>7.725559696251838E-2</v>
      </c>
      <c r="F31" s="2">
        <f t="shared" si="1"/>
        <v>0.60981864046733936</v>
      </c>
      <c r="H31" s="4"/>
    </row>
    <row r="32" spans="1:8">
      <c r="A32" s="2">
        <v>0.16499999999999998</v>
      </c>
      <c r="B32" s="8">
        <v>0.11514899372517874</v>
      </c>
      <c r="C32" s="17">
        <v>5.3483646850625947E-2</v>
      </c>
      <c r="D32" s="17">
        <v>8.6659090909090908E-2</v>
      </c>
      <c r="E32" s="2">
        <f t="shared" si="0"/>
        <v>7.8175444058464966E-2</v>
      </c>
      <c r="F32" s="2">
        <f t="shared" si="1"/>
        <v>0.62029136029411736</v>
      </c>
      <c r="H32" s="4"/>
    </row>
    <row r="33" spans="1:8">
      <c r="A33" s="2">
        <v>0.16999999999999998</v>
      </c>
      <c r="B33" s="8">
        <v>0.11436691481334403</v>
      </c>
      <c r="C33" s="17">
        <v>5.387690895982173E-2</v>
      </c>
      <c r="D33" s="17">
        <v>8.8168831168831174E-2</v>
      </c>
      <c r="E33" s="2">
        <f t="shared" si="0"/>
        <v>7.9291922209009436E-2</v>
      </c>
      <c r="F33" s="2">
        <f t="shared" si="1"/>
        <v>0.63648644421272138</v>
      </c>
      <c r="H33" s="4"/>
    </row>
    <row r="34" spans="1:8">
      <c r="A34" s="2">
        <v>0.17499999999999999</v>
      </c>
      <c r="B34" s="8">
        <v>0.11358483590150914</v>
      </c>
      <c r="C34" s="17">
        <v>5.4368486596316455E-2</v>
      </c>
      <c r="D34" s="17">
        <v>8.9577922077922076E-2</v>
      </c>
      <c r="E34" s="2">
        <f t="shared" si="0"/>
        <v>8.0209435481605612E-2</v>
      </c>
      <c r="F34" s="2">
        <f t="shared" si="1"/>
        <v>0.64760742271592142</v>
      </c>
      <c r="H34" s="4"/>
    </row>
    <row r="35" spans="1:8">
      <c r="A35" s="2">
        <v>0.18</v>
      </c>
      <c r="B35" s="8">
        <v>0.11358483590150914</v>
      </c>
      <c r="C35" s="17">
        <v>5.4761748705512231E-2</v>
      </c>
      <c r="D35" s="17">
        <v>9.088636363636364E-2</v>
      </c>
      <c r="E35" s="2">
        <f t="shared" si="0"/>
        <v>8.1124614930851408E-2</v>
      </c>
      <c r="F35" s="2">
        <f t="shared" si="1"/>
        <v>0.65966876122082563</v>
      </c>
      <c r="H35" s="4"/>
    </row>
    <row r="36" spans="1:8">
      <c r="A36" s="26" t="s">
        <v>52</v>
      </c>
      <c r="B36" s="8"/>
      <c r="C36" s="17">
        <f>4.91577636494724%+1%</f>
        <v>5.9157763649472402E-2</v>
      </c>
      <c r="D36" s="17">
        <v>9.3905844155844159E-2</v>
      </c>
      <c r="E36" s="2">
        <f t="shared" si="0"/>
        <v>7.9748080506371749E-2</v>
      </c>
      <c r="F36" s="2">
        <f t="shared" si="1"/>
        <v>0.58737988664116214</v>
      </c>
      <c r="H36" s="4"/>
    </row>
    <row r="37" spans="1:8">
      <c r="A37" s="26" t="s">
        <v>28</v>
      </c>
      <c r="B37" s="8"/>
      <c r="C37" s="17">
        <f>2.78232942256014%+1%</f>
        <v>3.7823294225601399E-2</v>
      </c>
      <c r="D37" s="17">
        <v>4.9116883116883121E-2</v>
      </c>
      <c r="E37" s="2">
        <f t="shared" si="0"/>
        <v>5.6293588891281721E-2</v>
      </c>
      <c r="F37" s="2">
        <f t="shared" si="1"/>
        <v>0.2985881881128547</v>
      </c>
      <c r="H37" s="4"/>
    </row>
    <row r="38" spans="1:8">
      <c r="A38" s="26" t="s">
        <v>29</v>
      </c>
      <c r="B38" s="8"/>
      <c r="C38" s="17">
        <f>3.45087500819296%+1%</f>
        <v>4.4508750081929602E-2</v>
      </c>
      <c r="D38" s="17">
        <v>5.9987012987012991E-2</v>
      </c>
      <c r="E38" s="2">
        <f t="shared" si="0"/>
        <v>6.0478262905083388E-2</v>
      </c>
      <c r="F38" s="2">
        <f t="shared" si="1"/>
        <v>0.34775775272484033</v>
      </c>
    </row>
  </sheetData>
  <sortState xmlns:xlrd2="http://schemas.microsoft.com/office/spreadsheetml/2017/richdata2" ref="A3:D38">
    <sortCondition ref="A3:A38"/>
  </sortState>
  <pageMargins left="0.7" right="0.7" top="0.75" bottom="0.75" header="0.3" footer="0.3"/>
  <pageSetup orientation="portrait" r:id="rId1"/>
  <headerFooter>
    <oddFooter>&amp;L&amp;1#&amp;"FS Elliot Pro"&amp;9&amp;K737373Classification: 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AA089-DEE0-4B86-8E0E-4EDE33E38D99}">
  <sheetPr>
    <tabColor rgb="FF92D050"/>
    <pageSetUpPr autoPageBreaks="0" fitToPage="1"/>
  </sheetPr>
  <dimension ref="A2:N20"/>
  <sheetViews>
    <sheetView zoomScale="111" zoomScaleNormal="100" workbookViewId="0">
      <selection activeCell="E9" sqref="E9"/>
    </sheetView>
  </sheetViews>
  <sheetFormatPr defaultRowHeight="15"/>
  <cols>
    <col min="1" max="1" width="13" customWidth="1"/>
    <col min="2" max="2" width="35.7109375" customWidth="1"/>
    <col min="3" max="3" width="3" customWidth="1"/>
    <col min="4" max="8" width="21.42578125" customWidth="1"/>
    <col min="9" max="9" width="3" customWidth="1"/>
    <col min="10" max="14" width="21.42578125" customWidth="1"/>
    <col min="16" max="16" width="8.7109375" customWidth="1"/>
  </cols>
  <sheetData>
    <row r="2" spans="1:14">
      <c r="B2" s="9"/>
      <c r="C2" s="9"/>
      <c r="D2" s="9"/>
      <c r="E2" s="94" t="s">
        <v>0</v>
      </c>
      <c r="F2" s="94" t="s">
        <v>22</v>
      </c>
      <c r="G2" s="94" t="s">
        <v>21</v>
      </c>
      <c r="H2" s="94" t="s">
        <v>40</v>
      </c>
      <c r="I2" s="9"/>
      <c r="J2" s="94" t="s">
        <v>39</v>
      </c>
      <c r="K2" s="94" t="s">
        <v>38</v>
      </c>
      <c r="L2" s="94" t="s">
        <v>37</v>
      </c>
      <c r="M2" s="94" t="s">
        <v>36</v>
      </c>
      <c r="N2" s="95" t="s">
        <v>51</v>
      </c>
    </row>
    <row r="3" spans="1:14" ht="15.75" thickBot="1">
      <c r="B3" s="13"/>
      <c r="C3" s="9"/>
      <c r="D3" s="13"/>
      <c r="E3" s="93"/>
      <c r="F3" s="93"/>
      <c r="G3" s="93"/>
      <c r="H3" s="93"/>
      <c r="I3" s="9"/>
      <c r="J3" s="93"/>
      <c r="K3" s="93"/>
      <c r="L3" s="93"/>
      <c r="M3" s="93"/>
      <c r="N3" s="96"/>
    </row>
    <row r="4" spans="1:14">
      <c r="A4" s="94"/>
      <c r="B4" s="97"/>
      <c r="C4" s="9"/>
      <c r="D4" s="94" t="s">
        <v>55</v>
      </c>
      <c r="E4" s="92" t="s">
        <v>20</v>
      </c>
      <c r="F4" s="92" t="s">
        <v>19</v>
      </c>
      <c r="G4" s="92" t="s">
        <v>18</v>
      </c>
      <c r="H4" s="92" t="s">
        <v>23</v>
      </c>
      <c r="I4" s="9"/>
      <c r="J4" s="92" t="s">
        <v>35</v>
      </c>
      <c r="K4" s="92" t="s">
        <v>34</v>
      </c>
      <c r="L4" s="92" t="s">
        <v>31</v>
      </c>
      <c r="M4" s="92" t="s">
        <v>33</v>
      </c>
      <c r="N4" s="92" t="s">
        <v>50</v>
      </c>
    </row>
    <row r="5" spans="1:14" ht="15.75" thickBot="1">
      <c r="A5" s="94"/>
      <c r="B5" s="98"/>
      <c r="C5" s="9"/>
      <c r="D5" s="93"/>
      <c r="E5" s="93"/>
      <c r="F5" s="93"/>
      <c r="G5" s="93"/>
      <c r="H5" s="93"/>
      <c r="I5" s="9"/>
      <c r="J5" s="93"/>
      <c r="K5" s="93"/>
      <c r="L5" s="93" t="s">
        <v>31</v>
      </c>
      <c r="M5" s="93" t="s">
        <v>31</v>
      </c>
      <c r="N5" s="93"/>
    </row>
    <row r="6" spans="1:14" ht="15.75" customHeight="1" thickBot="1">
      <c r="A6" s="38"/>
      <c r="B6" s="27" t="s">
        <v>17</v>
      </c>
      <c r="C6" s="28"/>
      <c r="D6" s="29">
        <f>NIER</f>
        <v>4.4999999999999998E-2</v>
      </c>
      <c r="E6" s="29">
        <f>NIER</f>
        <v>4.4999999999999998E-2</v>
      </c>
      <c r="F6" s="29">
        <f>NIER</f>
        <v>4.4999999999999998E-2</v>
      </c>
      <c r="G6" s="29">
        <f>NIER</f>
        <v>4.4999999999999998E-2</v>
      </c>
      <c r="H6" s="29">
        <f>NIER</f>
        <v>4.4999999999999998E-2</v>
      </c>
      <c r="I6" s="28"/>
      <c r="J6" s="29">
        <f>NIER</f>
        <v>4.4999999999999998E-2</v>
      </c>
      <c r="K6" s="29">
        <f>NIER</f>
        <v>4.4999999999999998E-2</v>
      </c>
      <c r="L6" s="29">
        <f>NIER</f>
        <v>4.4999999999999998E-2</v>
      </c>
      <c r="M6" s="29">
        <f>NIER</f>
        <v>4.4999999999999998E-2</v>
      </c>
      <c r="N6" s="29">
        <f>NIER</f>
        <v>4.4999999999999998E-2</v>
      </c>
    </row>
    <row r="7" spans="1:14" ht="15.75" thickBot="1">
      <c r="A7" s="38"/>
      <c r="B7" s="30" t="s">
        <v>4</v>
      </c>
      <c r="C7" s="31"/>
      <c r="D7" s="37">
        <v>0.1</v>
      </c>
      <c r="E7" s="32">
        <v>0.1</v>
      </c>
      <c r="F7" s="32">
        <v>0.18</v>
      </c>
      <c r="G7" s="32">
        <v>0.18</v>
      </c>
      <c r="H7" s="32">
        <v>0.09</v>
      </c>
      <c r="I7" s="31"/>
      <c r="J7" s="39">
        <v>0.08</v>
      </c>
      <c r="K7" s="39">
        <v>0.08</v>
      </c>
      <c r="L7" s="32" t="s">
        <v>29</v>
      </c>
      <c r="M7" s="32" t="s">
        <v>28</v>
      </c>
      <c r="N7" s="32" t="s">
        <v>52</v>
      </c>
    </row>
    <row r="8" spans="1:14" ht="15.75" thickBot="1">
      <c r="A8" s="38"/>
      <c r="B8" s="33" t="s">
        <v>16</v>
      </c>
      <c r="C8" s="28"/>
      <c r="D8" s="34">
        <v>0</v>
      </c>
      <c r="E8" s="34">
        <v>0.5</v>
      </c>
      <c r="F8" s="34">
        <v>0</v>
      </c>
      <c r="G8" s="34">
        <v>0.5</v>
      </c>
      <c r="H8" s="34">
        <v>0</v>
      </c>
      <c r="I8" s="28"/>
      <c r="J8" s="40">
        <v>0.25</v>
      </c>
      <c r="K8" s="40">
        <v>0.2</v>
      </c>
      <c r="L8" s="34">
        <v>0</v>
      </c>
      <c r="M8" s="40">
        <f>$D9/VLOOKUP(M7,Data,3)-1</f>
        <v>0.13851005943819539</v>
      </c>
      <c r="N8" s="34">
        <v>0</v>
      </c>
    </row>
    <row r="9" spans="1:14" ht="15.75" thickBot="1">
      <c r="A9" s="38"/>
      <c r="B9" s="24" t="s">
        <v>59</v>
      </c>
      <c r="C9" s="10"/>
      <c r="D9" s="12">
        <f>VLOOKUP(D7,'2015-2019 Data'!$A$2:$C$38,3,FALSE)*(1+D8)</f>
        <v>4.3062200956937802E-2</v>
      </c>
      <c r="E9" s="12">
        <f>VLOOKUP(E7,'2015-2019 Data'!$A$2:$C$38,3,FALSE)*(1+E8)</f>
        <v>6.4593301435406703E-2</v>
      </c>
      <c r="F9" s="12">
        <f>VLOOKUP(F7,'2015-2019 Data'!$A$2:$C$38,3,FALSE)*(1+F8)</f>
        <v>5.4761748705512231E-2</v>
      </c>
      <c r="G9" s="12">
        <f>VLOOKUP(G7,'2015-2019 Data'!$A$2:$C$38,3,FALSE)*(1+G8)</f>
        <v>8.2142623058268346E-2</v>
      </c>
      <c r="H9" s="12">
        <f>VLOOKUP(H7,'2015-2019 Data'!$A$2:$C$38,3,FALSE)*(1+H8)</f>
        <v>4.0211050665268408E-2</v>
      </c>
      <c r="I9" s="10"/>
      <c r="J9" s="12">
        <f>VLOOKUP(J7,'2015-2019 Data'!$A$2:$C$38,3,FALSE)*(1+J8)</f>
        <v>4.6208297830504036E-2</v>
      </c>
      <c r="K9" s="12">
        <f>VLOOKUP(K7,'2015-2019 Data'!$A$2:$C$38,3,FALSE)*(1+K8)</f>
        <v>4.4359965917283875E-2</v>
      </c>
      <c r="L9" s="12">
        <f>VLOOKUP(L7,'2015-2019 Data'!$A$2:$C$38,3,FALSE)*(1+L8)</f>
        <v>4.4508750081929602E-2</v>
      </c>
      <c r="M9" s="12">
        <f>VLOOKUP(M7,'2015-2019 Data'!$A$2:$C$38,3,FALSE)*(1+M8)</f>
        <v>4.3062200956937802E-2</v>
      </c>
      <c r="N9" s="12">
        <f>VLOOKUP(N7,'2015-2019 Data'!$A$2:$C$38,3,FALSE)*(1+N8)</f>
        <v>5.9157763649472402E-2</v>
      </c>
    </row>
    <row r="10" spans="1:14" ht="15.75" thickBot="1">
      <c r="A10" s="38"/>
      <c r="B10" s="25" t="s">
        <v>58</v>
      </c>
      <c r="C10" s="10"/>
      <c r="D10" s="35">
        <v>0</v>
      </c>
      <c r="E10" s="83">
        <f>MAX(E9-$D$9,0)</f>
        <v>2.1531100478468901E-2</v>
      </c>
      <c r="F10" s="35">
        <f>MAX(F9-$D$9,0)</f>
        <v>1.1699547748574429E-2</v>
      </c>
      <c r="G10" s="35">
        <f>MAX(G9-$D$9,0)</f>
        <v>3.9080422101330545E-2</v>
      </c>
      <c r="H10" s="83">
        <f>MAX(H9-$D$9,0)</f>
        <v>0</v>
      </c>
      <c r="I10" s="10"/>
      <c r="J10" s="83">
        <f>MAX(J9-$D$9,0)</f>
        <v>3.1460968735662342E-3</v>
      </c>
      <c r="K10" s="83">
        <f>MAX(K9-$D$9,0)</f>
        <v>1.2977649603460734E-3</v>
      </c>
      <c r="L10" s="83">
        <f>MAX(L9-$D$9,0)</f>
        <v>1.4465491249918E-3</v>
      </c>
      <c r="M10" s="83">
        <f>MAX(M9-$D$9,0)</f>
        <v>0</v>
      </c>
      <c r="N10" s="83">
        <f>MAX(N9-$D$9,0)</f>
        <v>1.60955626925346E-2</v>
      </c>
    </row>
    <row r="11" spans="1:14" ht="15.75" thickBot="1">
      <c r="A11" s="38"/>
      <c r="B11" s="25" t="s">
        <v>60</v>
      </c>
      <c r="C11" s="10"/>
      <c r="D11" s="35">
        <f>IF(D9&lt;$D$9,$D$9-D9,0)</f>
        <v>0</v>
      </c>
      <c r="E11" s="35">
        <f>IF(E9&lt;$D$9,$D$9-E9,0)</f>
        <v>0</v>
      </c>
      <c r="F11" s="35">
        <f>IF(F9&lt;$D$9,$D$9-F9,0)</f>
        <v>0</v>
      </c>
      <c r="G11" s="35">
        <f>IF(G9&lt;$D$9,$D$9-G9,0)</f>
        <v>0</v>
      </c>
      <c r="H11" s="35">
        <f>IF(H9&lt;$D$9,$D$9-H9,0)</f>
        <v>2.8511502916693937E-3</v>
      </c>
      <c r="I11" s="10"/>
      <c r="J11" s="35">
        <f>IF(J9&lt;$D$9,$D$9-J9,0)</f>
        <v>0</v>
      </c>
      <c r="K11" s="35">
        <f>IF(K9&lt;$D$9,$D$9-K9,0)</f>
        <v>0</v>
      </c>
      <c r="L11" s="35">
        <f>IF(L9&lt;$D$9,$D$9-L9,0)</f>
        <v>0</v>
      </c>
      <c r="M11" s="35">
        <f>IF(M9&lt;$D$9,$D$9-M9,0)</f>
        <v>0</v>
      </c>
      <c r="N11" s="35">
        <f>IF(N9&lt;$D$9,$D$9-N9,0)</f>
        <v>0</v>
      </c>
    </row>
    <row r="12" spans="1:14" ht="3.75" customHeight="1" thickBot="1">
      <c r="A12" s="21"/>
      <c r="B12" s="22"/>
      <c r="C12" s="10"/>
      <c r="D12" s="11"/>
      <c r="E12" s="11"/>
      <c r="F12" s="11"/>
      <c r="G12" s="11"/>
      <c r="H12" s="11"/>
      <c r="I12" s="10"/>
      <c r="J12" s="11"/>
      <c r="K12" s="11"/>
      <c r="L12" s="11"/>
      <c r="M12" s="20"/>
      <c r="N12" s="11"/>
    </row>
    <row r="13" spans="1:14" ht="34.5" customHeight="1" thickBot="1">
      <c r="A13" s="38"/>
      <c r="B13" s="24" t="s">
        <v>57</v>
      </c>
      <c r="C13" s="10"/>
      <c r="D13" s="12">
        <f>VLOOKUP(D7,'2015-2019 Data'!$A$2:$C$38,3,FALSE)</f>
        <v>4.3062200956937802E-2</v>
      </c>
      <c r="E13" s="12">
        <f>VLOOKUP(E7,'2015-2019 Data'!$A$2:$C$38,3,FALSE)</f>
        <v>4.3062200956937802E-2</v>
      </c>
      <c r="F13" s="12">
        <f>VLOOKUP(F7,'2015-2019 Data'!$A$2:$C$38,3,FALSE)</f>
        <v>5.4761748705512231E-2</v>
      </c>
      <c r="G13" s="12">
        <f>VLOOKUP(G7,'2015-2019 Data'!$A$2:$C$38,3,FALSE)</f>
        <v>5.4761748705512231E-2</v>
      </c>
      <c r="H13" s="12">
        <f>VLOOKUP(H7,'2015-2019 Data'!$A$2:$C$38,3,FALSE)</f>
        <v>4.0211050665268408E-2</v>
      </c>
      <c r="I13" s="10"/>
      <c r="J13" s="12">
        <f>VLOOKUP(J7,'2015-2019 Data'!$A$2:$C$38,3,FALSE)</f>
        <v>3.6966638264403232E-2</v>
      </c>
      <c r="K13" s="12">
        <f>VLOOKUP(K7,'2015-2019 Data'!$A$2:$C$38,3,FALSE)</f>
        <v>3.6966638264403232E-2</v>
      </c>
      <c r="L13" s="12">
        <f>VLOOKUP(L7,'2015-2019 Data'!$A$2:$C$38,3,FALSE)</f>
        <v>4.4508750081929602E-2</v>
      </c>
      <c r="M13" s="12">
        <f>VLOOKUP(M7,'2015-2019 Data'!$A$2:$C$38,3,FALSE)</f>
        <v>3.7823294225601399E-2</v>
      </c>
      <c r="N13" s="12">
        <f>VLOOKUP(N7,'2015-2019 Data'!$A$2:$C$38,3,FALSE)</f>
        <v>5.9157763649472402E-2</v>
      </c>
    </row>
    <row r="14" spans="1:14" ht="3.75" customHeight="1" thickBot="1">
      <c r="A14" s="23"/>
      <c r="B14" s="22" t="s">
        <v>15</v>
      </c>
      <c r="C14" s="10"/>
      <c r="D14" s="41"/>
      <c r="E14" s="41"/>
      <c r="F14" s="42"/>
      <c r="G14" s="41"/>
      <c r="H14" s="41"/>
      <c r="I14" s="10"/>
      <c r="J14" s="41"/>
      <c r="K14" s="41"/>
      <c r="L14" s="41"/>
      <c r="M14" s="50"/>
      <c r="N14" s="42"/>
    </row>
    <row r="15" spans="1:14">
      <c r="A15" s="91" t="s">
        <v>65</v>
      </c>
      <c r="B15" s="44" t="s">
        <v>62</v>
      </c>
      <c r="C15" s="43"/>
      <c r="D15" s="47">
        <f>D13</f>
        <v>4.3062200956937802E-2</v>
      </c>
      <c r="E15" s="47">
        <f t="shared" ref="E15:H15" si="0">E13</f>
        <v>4.3062200956937802E-2</v>
      </c>
      <c r="F15" s="47">
        <f t="shared" si="0"/>
        <v>5.4761748705512231E-2</v>
      </c>
      <c r="G15" s="47">
        <f t="shared" si="0"/>
        <v>5.4761748705512231E-2</v>
      </c>
      <c r="H15" s="47">
        <f t="shared" si="0"/>
        <v>4.0211050665268408E-2</v>
      </c>
      <c r="I15" s="43"/>
      <c r="J15" s="47">
        <f>J13</f>
        <v>3.6966638264403232E-2</v>
      </c>
      <c r="K15" s="47">
        <f t="shared" ref="K15:N15" si="1">K13</f>
        <v>3.6966638264403232E-2</v>
      </c>
      <c r="L15" s="47">
        <f t="shared" si="1"/>
        <v>4.4508750081929602E-2</v>
      </c>
      <c r="M15" s="47">
        <f t="shared" si="1"/>
        <v>3.7823294225601399E-2</v>
      </c>
      <c r="N15" s="47">
        <f t="shared" si="1"/>
        <v>5.9157763649472402E-2</v>
      </c>
    </row>
    <row r="16" spans="1:14">
      <c r="A16" s="91"/>
      <c r="B16" s="45" t="s">
        <v>64</v>
      </c>
      <c r="C16" s="43"/>
      <c r="D16" s="48">
        <f>(D13*(1+D8))</f>
        <v>4.3062200956937802E-2</v>
      </c>
      <c r="E16" s="48">
        <f>(E13*(1+E8))</f>
        <v>6.4593301435406703E-2</v>
      </c>
      <c r="F16" s="48">
        <f t="shared" ref="F16:H16" si="2">(F13*(1+F8))</f>
        <v>5.4761748705512231E-2</v>
      </c>
      <c r="G16" s="48">
        <f t="shared" si="2"/>
        <v>8.2142623058268346E-2</v>
      </c>
      <c r="H16" s="48">
        <f t="shared" si="2"/>
        <v>4.0211050665268408E-2</v>
      </c>
      <c r="I16" s="43"/>
      <c r="J16" s="48">
        <f>(J13*(1+J8))</f>
        <v>4.6208297830504036E-2</v>
      </c>
      <c r="K16" s="48">
        <f t="shared" ref="K16:N16" si="3">(K13*(1+K8))</f>
        <v>4.4359965917283875E-2</v>
      </c>
      <c r="L16" s="48">
        <f t="shared" si="3"/>
        <v>4.4508750081929602E-2</v>
      </c>
      <c r="M16" s="48">
        <f t="shared" si="3"/>
        <v>4.3062200956937802E-2</v>
      </c>
      <c r="N16" s="48">
        <f t="shared" si="3"/>
        <v>5.9157763649472402E-2</v>
      </c>
    </row>
    <row r="17" spans="1:14" ht="15.75" thickBot="1">
      <c r="A17" s="91"/>
      <c r="B17" s="46" t="s">
        <v>63</v>
      </c>
      <c r="C17" s="43"/>
      <c r="D17" s="49">
        <f>D16-D10+D11</f>
        <v>4.3062200956937802E-2</v>
      </c>
      <c r="E17" s="49">
        <f t="shared" ref="E17:H17" si="4">E16-E10+E11</f>
        <v>4.3062200956937802E-2</v>
      </c>
      <c r="F17" s="49">
        <f t="shared" si="4"/>
        <v>4.3062200956937802E-2</v>
      </c>
      <c r="G17" s="49">
        <f t="shared" si="4"/>
        <v>4.3062200956937802E-2</v>
      </c>
      <c r="H17" s="49">
        <f t="shared" si="4"/>
        <v>4.3062200956937802E-2</v>
      </c>
      <c r="I17" s="43"/>
      <c r="J17" s="49">
        <f>J16-J10+J11</f>
        <v>4.3062200956937802E-2</v>
      </c>
      <c r="K17" s="49">
        <f t="shared" ref="K17" si="5">K16-K10+K11</f>
        <v>4.3062200956937802E-2</v>
      </c>
      <c r="L17" s="49">
        <f t="shared" ref="L17" si="6">L16-L10+L11</f>
        <v>4.3062200956937802E-2</v>
      </c>
      <c r="M17" s="49">
        <f t="shared" ref="M17" si="7">M16-M10+M11</f>
        <v>4.3062200956937802E-2</v>
      </c>
      <c r="N17" s="49">
        <f t="shared" ref="N17" si="8">N16-N10+N11</f>
        <v>4.3062200956937802E-2</v>
      </c>
    </row>
    <row r="18" spans="1:14">
      <c r="B18" s="9"/>
    </row>
    <row r="20" spans="1:14">
      <c r="B20" s="103" t="s">
        <v>72</v>
      </c>
    </row>
  </sheetData>
  <mergeCells count="22">
    <mergeCell ref="E2:E3"/>
    <mergeCell ref="F2:F3"/>
    <mergeCell ref="G2:G3"/>
    <mergeCell ref="H2:H3"/>
    <mergeCell ref="J2:J3"/>
    <mergeCell ref="K4:K5"/>
    <mergeCell ref="L4:L5"/>
    <mergeCell ref="M4:M5"/>
    <mergeCell ref="N4:N5"/>
    <mergeCell ref="L2:L3"/>
    <mergeCell ref="M2:M3"/>
    <mergeCell ref="N2:N3"/>
    <mergeCell ref="K2:K3"/>
    <mergeCell ref="A15:A17"/>
    <mergeCell ref="J4:J5"/>
    <mergeCell ref="A4:A5"/>
    <mergeCell ref="B4:B5"/>
    <mergeCell ref="D4:D5"/>
    <mergeCell ref="E4:E5"/>
    <mergeCell ref="F4:F5"/>
    <mergeCell ref="G4:G5"/>
    <mergeCell ref="H4:H5"/>
  </mergeCells>
  <conditionalFormatting sqref="E17:H17">
    <cfRule type="cellIs" dxfId="19" priority="183" operator="notEqual">
      <formula>$D$17</formula>
    </cfRule>
    <cfRule type="cellIs" dxfId="18" priority="184" operator="equal">
      <formula>$D$17</formula>
    </cfRule>
  </conditionalFormatting>
  <conditionalFormatting sqref="J17:N17">
    <cfRule type="cellIs" dxfId="17" priority="125" operator="notEqual">
      <formula>$D$17</formula>
    </cfRule>
    <cfRule type="cellIs" dxfId="16" priority="126" operator="equal">
      <formula>$D$17</formula>
    </cfRule>
  </conditionalFormatting>
  <conditionalFormatting sqref="K17:N17">
    <cfRule type="cellIs" dxfId="15" priority="127" operator="notEqual">
      <formula>$D$17</formula>
    </cfRule>
    <cfRule type="cellIs" dxfId="14" priority="128" operator="equal">
      <formula>$D$17</formula>
    </cfRule>
  </conditionalFormatting>
  <conditionalFormatting sqref="D17:H17">
    <cfRule type="cellIs" dxfId="13" priority="129" operator="notEqual">
      <formula>$D$17</formula>
    </cfRule>
    <cfRule type="cellIs" dxfId="12" priority="130" operator="equal">
      <formula>$D$17</formula>
    </cfRule>
  </conditionalFormatting>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4891-876B-4534-82E2-B9D29CA98A49}">
  <sheetPr>
    <tabColor rgb="FF92D050"/>
    <pageSetUpPr autoPageBreaks="0" fitToPage="1"/>
  </sheetPr>
  <dimension ref="A2:N20"/>
  <sheetViews>
    <sheetView tabSelected="1" zoomScale="111" zoomScaleNormal="100" workbookViewId="0">
      <selection activeCell="B20" sqref="B20"/>
    </sheetView>
  </sheetViews>
  <sheetFormatPr defaultRowHeight="15"/>
  <cols>
    <col min="1" max="1" width="13" style="53" customWidth="1"/>
    <col min="2" max="2" width="35.7109375" style="53" customWidth="1"/>
    <col min="3" max="3" width="3" style="53" customWidth="1"/>
    <col min="4" max="8" width="21.42578125" style="53" customWidth="1"/>
    <col min="9" max="9" width="3" style="53" customWidth="1"/>
    <col min="10" max="14" width="21.42578125" style="53" customWidth="1"/>
    <col min="15" max="15" width="9.140625" style="53"/>
    <col min="16" max="16" width="8.7109375" style="53" customWidth="1"/>
    <col min="17" max="16384" width="9.140625" style="53"/>
  </cols>
  <sheetData>
    <row r="2" spans="1:14">
      <c r="B2" s="54"/>
      <c r="C2" s="54"/>
      <c r="D2" s="54"/>
      <c r="E2" s="94" t="s">
        <v>0</v>
      </c>
      <c r="F2" s="94" t="s">
        <v>22</v>
      </c>
      <c r="G2" s="94" t="s">
        <v>21</v>
      </c>
      <c r="H2" s="94" t="s">
        <v>40</v>
      </c>
      <c r="I2" s="54"/>
      <c r="J2" s="94" t="s">
        <v>39</v>
      </c>
      <c r="K2" s="94" t="s">
        <v>38</v>
      </c>
      <c r="L2" s="94" t="s">
        <v>37</v>
      </c>
      <c r="M2" s="94" t="s">
        <v>36</v>
      </c>
      <c r="N2" s="95" t="s">
        <v>51</v>
      </c>
    </row>
    <row r="3" spans="1:14" ht="15.75" thickBot="1">
      <c r="B3" s="58"/>
      <c r="C3" s="54"/>
      <c r="D3" s="58"/>
      <c r="E3" s="93"/>
      <c r="F3" s="93"/>
      <c r="G3" s="93"/>
      <c r="H3" s="93"/>
      <c r="I3" s="54"/>
      <c r="J3" s="93"/>
      <c r="K3" s="93"/>
      <c r="L3" s="93"/>
      <c r="M3" s="93"/>
      <c r="N3" s="96"/>
    </row>
    <row r="4" spans="1:14">
      <c r="A4" s="94"/>
      <c r="B4" s="97"/>
      <c r="C4" s="54"/>
      <c r="D4" s="94" t="s">
        <v>55</v>
      </c>
      <c r="E4" s="92" t="s">
        <v>20</v>
      </c>
      <c r="F4" s="92" t="s">
        <v>19</v>
      </c>
      <c r="G4" s="92" t="s">
        <v>18</v>
      </c>
      <c r="H4" s="92" t="s">
        <v>23</v>
      </c>
      <c r="I4" s="54"/>
      <c r="J4" s="92" t="s">
        <v>35</v>
      </c>
      <c r="K4" s="92" t="s">
        <v>34</v>
      </c>
      <c r="L4" s="92" t="s">
        <v>31</v>
      </c>
      <c r="M4" s="92" t="s">
        <v>33</v>
      </c>
      <c r="N4" s="92" t="s">
        <v>50</v>
      </c>
    </row>
    <row r="5" spans="1:14" ht="15.75" thickBot="1">
      <c r="A5" s="94"/>
      <c r="B5" s="98"/>
      <c r="C5" s="54"/>
      <c r="D5" s="93"/>
      <c r="E5" s="93"/>
      <c r="F5" s="93"/>
      <c r="G5" s="93"/>
      <c r="H5" s="93"/>
      <c r="I5" s="54"/>
      <c r="J5" s="93"/>
      <c r="K5" s="93"/>
      <c r="L5" s="93" t="s">
        <v>31</v>
      </c>
      <c r="M5" s="93" t="s">
        <v>31</v>
      </c>
      <c r="N5" s="93"/>
    </row>
    <row r="6" spans="1:14" ht="15.75" customHeight="1" thickBot="1">
      <c r="A6" s="87"/>
      <c r="B6" s="27" t="s">
        <v>17</v>
      </c>
      <c r="C6" s="28"/>
      <c r="D6" s="29">
        <f>NIER</f>
        <v>4.4999999999999998E-2</v>
      </c>
      <c r="E6" s="29">
        <f>NIER</f>
        <v>4.4999999999999998E-2</v>
      </c>
      <c r="F6" s="29">
        <f>NIER</f>
        <v>4.4999999999999998E-2</v>
      </c>
      <c r="G6" s="29">
        <f>NIER</f>
        <v>4.4999999999999998E-2</v>
      </c>
      <c r="H6" s="29">
        <f>NIER</f>
        <v>4.4999999999999998E-2</v>
      </c>
      <c r="I6" s="28"/>
      <c r="J6" s="29">
        <f>NIER</f>
        <v>4.4999999999999998E-2</v>
      </c>
      <c r="K6" s="29">
        <f>NIER</f>
        <v>4.4999999999999998E-2</v>
      </c>
      <c r="L6" s="29">
        <f>NIER</f>
        <v>4.4999999999999998E-2</v>
      </c>
      <c r="M6" s="29">
        <f>NIER</f>
        <v>4.4999999999999998E-2</v>
      </c>
      <c r="N6" s="29">
        <f>NIER</f>
        <v>4.4999999999999998E-2</v>
      </c>
    </row>
    <row r="7" spans="1:14" ht="15.75" thickBot="1">
      <c r="A7" s="87"/>
      <c r="B7" s="80" t="s">
        <v>4</v>
      </c>
      <c r="C7" s="81"/>
      <c r="D7" s="37">
        <v>0.1</v>
      </c>
      <c r="E7" s="82">
        <v>0.1</v>
      </c>
      <c r="F7" s="82">
        <v>0.18</v>
      </c>
      <c r="G7" s="82">
        <v>0.18</v>
      </c>
      <c r="H7" s="82">
        <v>0.09</v>
      </c>
      <c r="I7" s="81"/>
      <c r="J7" s="39">
        <v>0.08</v>
      </c>
      <c r="K7" s="39">
        <v>0.08</v>
      </c>
      <c r="L7" s="82" t="s">
        <v>29</v>
      </c>
      <c r="M7" s="82" t="s">
        <v>28</v>
      </c>
      <c r="N7" s="82" t="s">
        <v>52</v>
      </c>
    </row>
    <row r="8" spans="1:14" ht="15.75" thickBot="1">
      <c r="A8" s="87"/>
      <c r="B8" s="33" t="s">
        <v>16</v>
      </c>
      <c r="C8" s="28"/>
      <c r="D8" s="34">
        <v>0</v>
      </c>
      <c r="E8" s="34">
        <v>0.5</v>
      </c>
      <c r="F8" s="34">
        <v>0</v>
      </c>
      <c r="G8" s="34">
        <v>0.5</v>
      </c>
      <c r="H8" s="34">
        <v>0</v>
      </c>
      <c r="I8" s="28"/>
      <c r="J8" s="40">
        <v>0.25</v>
      </c>
      <c r="K8" s="40">
        <v>0.2</v>
      </c>
      <c r="L8" s="34">
        <v>0</v>
      </c>
      <c r="M8" s="40">
        <f>$D9/VLOOKUP(M7,Data,3)-1</f>
        <v>0.18753680840921816</v>
      </c>
      <c r="N8" s="34">
        <v>0</v>
      </c>
    </row>
    <row r="9" spans="1:14" ht="15.75" thickBot="1">
      <c r="A9" s="87"/>
      <c r="B9" s="74" t="s">
        <v>59</v>
      </c>
      <c r="C9" s="55"/>
      <c r="D9" s="57">
        <f>VLOOKUP(D7,'2015-2019 Data'!$A$2:$C$38,3,FALSE)*(1+D8)*(1+VLOOKUP($D$7,'2015-2019 Data'!$A$2:$C$38,3,FALSE))</f>
        <v>4.4916554108193493E-2</v>
      </c>
      <c r="E9" s="57">
        <f>VLOOKUP(E7,'2015-2019 Data'!$A$2:$C$38,3,FALSE)*(1+E8)*(1+VLOOKUP($D$7,'2015-2019 Data'!$A$2:$C$38,3,FALSE))</f>
        <v>6.7374831162290233E-2</v>
      </c>
      <c r="F9" s="57">
        <f>VLOOKUP(F7,'2015-2019 Data'!$A$2:$C$38,3,FALSE)*(1+F8)*(1+VLOOKUP($D$7,'2015-2019 Data'!$A$2:$C$38,3,FALSE))</f>
        <v>5.7119910133022318E-2</v>
      </c>
      <c r="G9" s="57">
        <f>VLOOKUP(G7,'2015-2019 Data'!$A$2:$C$38,3,FALSE)*(1+G8)*(1+VLOOKUP($D$7,'2015-2019 Data'!$A$2:$C$38,3,FALSE))</f>
        <v>8.5679865199533481E-2</v>
      </c>
      <c r="H9" s="57">
        <f>VLOOKUP(H7,'2015-2019 Data'!$A$2:$C$38,3,FALSE)*(1+H8)*(1+VLOOKUP($D$7,'2015-2019 Data'!$A$2:$C$38,3,FALSE))</f>
        <v>4.1942627009705802E-2</v>
      </c>
      <c r="I9" s="55"/>
      <c r="J9" s="57">
        <f>VLOOKUP(J7,'2015-2019 Data'!$A$2:$C$38,3,FALSE)*(1+J8)*(1+VLOOKUP($D$7,'2015-2019 Data'!$A$2:$C$38,3,FALSE))</f>
        <v>4.819812883755923E-2</v>
      </c>
      <c r="K9" s="57">
        <f>VLOOKUP(K7,'2015-2019 Data'!$A$2:$C$38,3,FALSE)*(1+K8)*(1+VLOOKUP($D$7,'2015-2019 Data'!$A$2:$C$38,3,FALSE))</f>
        <v>4.6270203684056863E-2</v>
      </c>
      <c r="L9" s="57">
        <f>VLOOKUP(L7,'2015-2019 Data'!$A$2:$C$38,3,FALSE)*(1+L8)*(1+VLOOKUP($D$7,'2015-2019 Data'!$A$2:$C$38,3,FALSE))</f>
        <v>4.6425394822299772E-2</v>
      </c>
      <c r="M9" s="57">
        <f>VLOOKUP(M7,'2015-2019 Data'!$A$2:$C$38,3,FALSE)*(1+M8)*(1+VLOOKUP($D$7,'2015-2019 Data'!$A$2:$C$38,3,FALSE))</f>
        <v>4.6850759787493687E-2</v>
      </c>
      <c r="N9" s="57">
        <f>VLOOKUP(N7,'2015-2019 Data'!$A$2:$C$38,3,FALSE)*(1+N8)*(1+VLOOKUP($D$7,'2015-2019 Data'!$A$2:$C$38,3,FALSE))</f>
        <v>6.1705227155909002E-2</v>
      </c>
    </row>
    <row r="10" spans="1:14" ht="15.75" thickBot="1">
      <c r="A10" s="87"/>
      <c r="B10" s="76" t="s">
        <v>58</v>
      </c>
      <c r="C10" s="55"/>
      <c r="D10" s="83">
        <v>0</v>
      </c>
      <c r="E10" s="83">
        <f>MAX(E9-$D$9,0)</f>
        <v>2.245827705409674E-2</v>
      </c>
      <c r="F10" s="83">
        <f>MAX(F9-$D$9,0)</f>
        <v>1.2203356024828825E-2</v>
      </c>
      <c r="G10" s="83">
        <f>MAX(G9-$D$9,0)</f>
        <v>4.0763311091339988E-2</v>
      </c>
      <c r="H10" s="83">
        <f>MAX(H9-$D$9,0)</f>
        <v>0</v>
      </c>
      <c r="I10" s="55"/>
      <c r="J10" s="83">
        <f>MAX(J9-$D$9,0)</f>
        <v>3.2815747293657369E-3</v>
      </c>
      <c r="K10" s="83">
        <f>MAX(K9-$D$9,0)</f>
        <v>1.3536495758633693E-3</v>
      </c>
      <c r="L10" s="83">
        <f>MAX(L9-$D$9,0)</f>
        <v>1.5088407141062785E-3</v>
      </c>
      <c r="M10" s="83">
        <f>MAX(M9-$D$9,0)</f>
        <v>1.9342056793001938E-3</v>
      </c>
      <c r="N10" s="83">
        <f>MAX(N9-$D$9,0)</f>
        <v>1.6788673047715509E-2</v>
      </c>
    </row>
    <row r="11" spans="1:14" ht="15.75" thickBot="1">
      <c r="A11" s="87"/>
      <c r="B11" s="76" t="s">
        <v>60</v>
      </c>
      <c r="C11" s="55"/>
      <c r="D11" s="83">
        <f>IF(D9&lt;$D$9,$D$9-D9,0)</f>
        <v>0</v>
      </c>
      <c r="E11" s="83">
        <f>IF(E9&lt;$D$9,$D$9-E9,0)</f>
        <v>0</v>
      </c>
      <c r="F11" s="83">
        <f>IF(F9&lt;$D$9,$D$9-F9,0)</f>
        <v>0</v>
      </c>
      <c r="G11" s="83">
        <f>IF(G9&lt;$D$9,$D$9-G9,0)</f>
        <v>0</v>
      </c>
      <c r="H11" s="83">
        <f>IF(H9&lt;$D$9,$D$9-H9,0)</f>
        <v>2.9739270984876914E-3</v>
      </c>
      <c r="I11" s="55"/>
      <c r="J11" s="83">
        <f>IF(J9&lt;$D$9,$D$9-J9,0)</f>
        <v>0</v>
      </c>
      <c r="K11" s="83">
        <f>IF(K9&lt;$D$9,$D$9-K9,0)</f>
        <v>0</v>
      </c>
      <c r="L11" s="83">
        <f>IF(L9&lt;$D$9,$D$9-L9,0)</f>
        <v>0</v>
      </c>
      <c r="M11" s="83">
        <f>IF(M9&lt;$D$9,$D$9-M9,0)</f>
        <v>0</v>
      </c>
      <c r="N11" s="83">
        <f>IF(N9&lt;$D$9,$D$9-N9,0)</f>
        <v>0</v>
      </c>
    </row>
    <row r="12" spans="1:14" ht="3.75" customHeight="1" thickBot="1">
      <c r="A12" s="67"/>
      <c r="B12" s="72"/>
      <c r="C12" s="55"/>
      <c r="D12" s="56"/>
      <c r="E12" s="56"/>
      <c r="F12" s="56"/>
      <c r="G12" s="56"/>
      <c r="H12" s="56"/>
      <c r="I12" s="55"/>
      <c r="J12" s="56"/>
      <c r="K12" s="56"/>
      <c r="L12" s="56"/>
      <c r="M12" s="65"/>
      <c r="N12" s="56"/>
    </row>
    <row r="13" spans="1:14" ht="34.5" customHeight="1" thickBot="1">
      <c r="A13" s="87"/>
      <c r="B13" s="74" t="s">
        <v>57</v>
      </c>
      <c r="C13" s="55"/>
      <c r="D13" s="57">
        <f>VLOOKUP(D7,'2015-2019 Data'!$A$2:$C$38,3,FALSE)*(1+VLOOKUP($D$7,'2015-2019 Data'!$A$2:$C$38,3,FALSE))</f>
        <v>4.4916554108193493E-2</v>
      </c>
      <c r="E13" s="57">
        <f>VLOOKUP(E7,'2015-2019 Data'!$A$2:$C$38,3,FALSE)*(1+VLOOKUP($D$7,'2015-2019 Data'!$A$2:$C$38,3,FALSE))</f>
        <v>4.4916554108193493E-2</v>
      </c>
      <c r="F13" s="57">
        <f>VLOOKUP(F7,'2015-2019 Data'!$A$2:$C$38,3,FALSE)*(1+VLOOKUP($D$7,'2015-2019 Data'!$A$2:$C$38,3,FALSE))</f>
        <v>5.7119910133022318E-2</v>
      </c>
      <c r="G13" s="57">
        <f>VLOOKUP(G7,'2015-2019 Data'!$A$2:$C$38,3,FALSE)*(1+VLOOKUP($D$7,'2015-2019 Data'!$A$2:$C$38,3,FALSE))</f>
        <v>5.7119910133022318E-2</v>
      </c>
      <c r="H13" s="57">
        <f>VLOOKUP(H7,'2015-2019 Data'!$A$2:$C$38,3,FALSE)*(1+VLOOKUP($D$7,'2015-2019 Data'!$A$2:$C$38,3,FALSE))</f>
        <v>4.1942627009705802E-2</v>
      </c>
      <c r="I13" s="55"/>
      <c r="J13" s="57">
        <f>VLOOKUP(J7,'2015-2019 Data'!$A$2:$C$38,3,FALSE)*(1+VLOOKUP($D$7,'2015-2019 Data'!$A$2:$C$38,3,FALSE))</f>
        <v>3.8558503070047385E-2</v>
      </c>
      <c r="K13" s="57">
        <f>VLOOKUP(K7,'2015-2019 Data'!$A$2:$C$38,3,FALSE)*(1+VLOOKUP($D$7,'2015-2019 Data'!$A$2:$C$38,3,FALSE))</f>
        <v>3.8558503070047385E-2</v>
      </c>
      <c r="L13" s="57">
        <f>VLOOKUP(L7,'2015-2019 Data'!$A$2:$C$38,3,FALSE)*(1+VLOOKUP($D$7,'2015-2019 Data'!$A$2:$C$38,3,FALSE))</f>
        <v>4.6425394822299772E-2</v>
      </c>
      <c r="M13" s="57">
        <f>VLOOKUP(M7,'2015-2019 Data'!$A$2:$C$38,3,FALSE)*(1+VLOOKUP($D$7,'2015-2019 Data'!$A$2:$C$38,3,FALSE))</f>
        <v>3.9452048522397629E-2</v>
      </c>
      <c r="N13" s="57">
        <f>VLOOKUP(N7,'2015-2019 Data'!$A$2:$C$38,3,FALSE)*(1+VLOOKUP($D$7,'2015-2019 Data'!$A$2:$C$38,3,FALSE))</f>
        <v>6.1705227155909002E-2</v>
      </c>
    </row>
    <row r="14" spans="1:14" ht="3.75" customHeight="1" thickBot="1">
      <c r="A14" s="73"/>
      <c r="B14" s="72" t="s">
        <v>15</v>
      </c>
      <c r="C14" s="55"/>
      <c r="D14" s="41"/>
      <c r="E14" s="41"/>
      <c r="F14" s="42"/>
      <c r="G14" s="41"/>
      <c r="H14" s="41"/>
      <c r="I14" s="55"/>
      <c r="J14" s="41"/>
      <c r="K14" s="41"/>
      <c r="L14" s="41"/>
      <c r="M14" s="50"/>
      <c r="N14" s="42"/>
    </row>
    <row r="15" spans="1:14">
      <c r="A15" s="91" t="s">
        <v>65</v>
      </c>
      <c r="B15" s="44" t="s">
        <v>62</v>
      </c>
      <c r="C15" s="43"/>
      <c r="D15" s="47">
        <f>D13</f>
        <v>4.4916554108193493E-2</v>
      </c>
      <c r="E15" s="47">
        <f t="shared" ref="E15:H15" si="0">E13</f>
        <v>4.4916554108193493E-2</v>
      </c>
      <c r="F15" s="47">
        <f t="shared" si="0"/>
        <v>5.7119910133022318E-2</v>
      </c>
      <c r="G15" s="47">
        <f t="shared" si="0"/>
        <v>5.7119910133022318E-2</v>
      </c>
      <c r="H15" s="47">
        <f t="shared" si="0"/>
        <v>4.1942627009705802E-2</v>
      </c>
      <c r="I15" s="43"/>
      <c r="J15" s="47">
        <f>J13</f>
        <v>3.8558503070047385E-2</v>
      </c>
      <c r="K15" s="47">
        <f t="shared" ref="K15:N15" si="1">K13</f>
        <v>3.8558503070047385E-2</v>
      </c>
      <c r="L15" s="47">
        <f t="shared" si="1"/>
        <v>4.6425394822299772E-2</v>
      </c>
      <c r="M15" s="47">
        <f t="shared" si="1"/>
        <v>3.9452048522397629E-2</v>
      </c>
      <c r="N15" s="47">
        <f t="shared" si="1"/>
        <v>6.1705227155909002E-2</v>
      </c>
    </row>
    <row r="16" spans="1:14">
      <c r="A16" s="91"/>
      <c r="B16" s="45" t="s">
        <v>64</v>
      </c>
      <c r="C16" s="43"/>
      <c r="D16" s="48">
        <f>(D13*(1+D8))</f>
        <v>4.4916554108193493E-2</v>
      </c>
      <c r="E16" s="48">
        <f>(E13*(1+E8))</f>
        <v>6.7374831162290233E-2</v>
      </c>
      <c r="F16" s="48">
        <f t="shared" ref="F16:H16" si="2">(F13*(1+F8))</f>
        <v>5.7119910133022318E-2</v>
      </c>
      <c r="G16" s="48">
        <f t="shared" si="2"/>
        <v>8.5679865199533481E-2</v>
      </c>
      <c r="H16" s="48">
        <f t="shared" si="2"/>
        <v>4.1942627009705802E-2</v>
      </c>
      <c r="I16" s="43"/>
      <c r="J16" s="48">
        <f>(J13*(1+J8))</f>
        <v>4.819812883755923E-2</v>
      </c>
      <c r="K16" s="48">
        <f t="shared" ref="K16:N16" si="3">(K13*(1+K8))</f>
        <v>4.6270203684056863E-2</v>
      </c>
      <c r="L16" s="48">
        <f t="shared" si="3"/>
        <v>4.6425394822299772E-2</v>
      </c>
      <c r="M16" s="48">
        <f t="shared" si="3"/>
        <v>4.6850759787493694E-2</v>
      </c>
      <c r="N16" s="48">
        <f t="shared" si="3"/>
        <v>6.1705227155909002E-2</v>
      </c>
    </row>
    <row r="17" spans="1:14" ht="15.75" thickBot="1">
      <c r="A17" s="91"/>
      <c r="B17" s="46" t="s">
        <v>63</v>
      </c>
      <c r="C17" s="43"/>
      <c r="D17" s="49">
        <f>D16-D10+D11</f>
        <v>4.4916554108193493E-2</v>
      </c>
      <c r="E17" s="49">
        <f t="shared" ref="E17:H17" si="4">E16-E10+E11</f>
        <v>4.4916554108193493E-2</v>
      </c>
      <c r="F17" s="49">
        <f t="shared" si="4"/>
        <v>4.4916554108193493E-2</v>
      </c>
      <c r="G17" s="49">
        <f t="shared" si="4"/>
        <v>4.4916554108193493E-2</v>
      </c>
      <c r="H17" s="49">
        <f t="shared" si="4"/>
        <v>4.4916554108193493E-2</v>
      </c>
      <c r="I17" s="43"/>
      <c r="J17" s="49">
        <f>J16-J10+J11</f>
        <v>4.4916554108193493E-2</v>
      </c>
      <c r="K17" s="49">
        <f t="shared" ref="K17:N17" si="5">K16-K10+K11</f>
        <v>4.4916554108193493E-2</v>
      </c>
      <c r="L17" s="49">
        <f t="shared" si="5"/>
        <v>4.4916554108193493E-2</v>
      </c>
      <c r="M17" s="49">
        <f t="shared" si="5"/>
        <v>4.49165541081935E-2</v>
      </c>
      <c r="N17" s="49">
        <f t="shared" si="5"/>
        <v>4.4916554108193493E-2</v>
      </c>
    </row>
    <row r="18" spans="1:14">
      <c r="B18" s="54"/>
    </row>
    <row r="20" spans="1:14">
      <c r="B20" s="103" t="s">
        <v>73</v>
      </c>
    </row>
  </sheetData>
  <mergeCells count="22">
    <mergeCell ref="J4:J5"/>
    <mergeCell ref="K4:K5"/>
    <mergeCell ref="L4:L5"/>
    <mergeCell ref="M4:M5"/>
    <mergeCell ref="N4:N5"/>
    <mergeCell ref="A15:A17"/>
    <mergeCell ref="L2:L3"/>
    <mergeCell ref="M2:M3"/>
    <mergeCell ref="N2:N3"/>
    <mergeCell ref="A4:A5"/>
    <mergeCell ref="B4:B5"/>
    <mergeCell ref="D4:D5"/>
    <mergeCell ref="E4:E5"/>
    <mergeCell ref="F4:F5"/>
    <mergeCell ref="G4:G5"/>
    <mergeCell ref="H4:H5"/>
    <mergeCell ref="E2:E3"/>
    <mergeCell ref="F2:F3"/>
    <mergeCell ref="G2:G3"/>
    <mergeCell ref="H2:H3"/>
    <mergeCell ref="J2:J3"/>
    <mergeCell ref="K2:K3"/>
  </mergeCells>
  <conditionalFormatting sqref="E17:H17">
    <cfRule type="cellIs" dxfId="7" priority="7" operator="notEqual">
      <formula>$D$17</formula>
    </cfRule>
    <cfRule type="cellIs" dxfId="6" priority="8" operator="equal">
      <formula>$D$17</formula>
    </cfRule>
  </conditionalFormatting>
  <conditionalFormatting sqref="J17:N17">
    <cfRule type="cellIs" dxfId="5" priority="1" operator="notEqual">
      <formula>$D$17</formula>
    </cfRule>
    <cfRule type="cellIs" dxfId="4" priority="2" operator="equal">
      <formula>$D$17</formula>
    </cfRule>
  </conditionalFormatting>
  <conditionalFormatting sqref="K17:N17">
    <cfRule type="cellIs" dxfId="3" priority="3" operator="notEqual">
      <formula>$D$17</formula>
    </cfRule>
    <cfRule type="cellIs" dxfId="2" priority="4" operator="equal">
      <formula>$D$17</formula>
    </cfRule>
  </conditionalFormatting>
  <conditionalFormatting sqref="D17:H17">
    <cfRule type="cellIs" dxfId="1" priority="5" operator="notEqual">
      <formula>$D$17</formula>
    </cfRule>
    <cfRule type="cellIs" dxfId="0" priority="6" operator="equal">
      <formula>$D$17</formula>
    </cfRule>
  </conditionalFormatting>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2508A-5253-42DD-B85D-4EC188D29F22}">
  <sheetPr>
    <tabColor rgb="FF92D050"/>
    <pageSetUpPr autoPageBreaks="0" fitToPage="1"/>
  </sheetPr>
  <dimension ref="A2:N35"/>
  <sheetViews>
    <sheetView zoomScaleNormal="100" workbookViewId="0">
      <selection activeCell="D20" sqref="D20"/>
    </sheetView>
  </sheetViews>
  <sheetFormatPr defaultRowHeight="15"/>
  <cols>
    <col min="1" max="1" width="10.85546875" style="53" customWidth="1"/>
    <col min="2" max="2" width="35.7109375" style="53" customWidth="1"/>
    <col min="3" max="3" width="3" style="53" customWidth="1"/>
    <col min="4" max="8" width="21.42578125" style="53" customWidth="1"/>
    <col min="9" max="9" width="3" style="53" customWidth="1"/>
    <col min="10" max="14" width="21.42578125" style="53" customWidth="1"/>
    <col min="15" max="15" width="9.140625" style="53"/>
    <col min="16" max="16" width="8.7109375" style="53" customWidth="1"/>
    <col min="17" max="16384" width="9.140625" style="53"/>
  </cols>
  <sheetData>
    <row r="2" spans="1:14">
      <c r="B2" s="54"/>
      <c r="C2" s="54"/>
      <c r="D2" s="54"/>
      <c r="E2" s="94" t="s">
        <v>0</v>
      </c>
      <c r="F2" s="94" t="s">
        <v>22</v>
      </c>
      <c r="G2" s="94" t="s">
        <v>21</v>
      </c>
      <c r="H2" s="94" t="s">
        <v>40</v>
      </c>
      <c r="I2" s="54"/>
      <c r="J2" s="94" t="s">
        <v>39</v>
      </c>
      <c r="K2" s="94" t="s">
        <v>38</v>
      </c>
      <c r="L2" s="94" t="s">
        <v>37</v>
      </c>
      <c r="M2" s="94" t="s">
        <v>36</v>
      </c>
      <c r="N2" s="94" t="s">
        <v>51</v>
      </c>
    </row>
    <row r="3" spans="1:14" ht="15.75" thickBot="1">
      <c r="B3" s="58"/>
      <c r="C3" s="54"/>
      <c r="D3" s="58"/>
      <c r="E3" s="93"/>
      <c r="F3" s="93"/>
      <c r="G3" s="93"/>
      <c r="H3" s="93"/>
      <c r="I3" s="54"/>
      <c r="J3" s="93"/>
      <c r="K3" s="93"/>
      <c r="L3" s="93"/>
      <c r="M3" s="93"/>
      <c r="N3" s="93"/>
    </row>
    <row r="4" spans="1:14">
      <c r="A4" s="94" t="s">
        <v>32</v>
      </c>
      <c r="B4" s="97"/>
      <c r="C4" s="54"/>
      <c r="D4" s="94" t="s">
        <v>55</v>
      </c>
      <c r="E4" s="92" t="s">
        <v>20</v>
      </c>
      <c r="F4" s="92" t="s">
        <v>19</v>
      </c>
      <c r="G4" s="92" t="s">
        <v>18</v>
      </c>
      <c r="H4" s="92" t="s">
        <v>23</v>
      </c>
      <c r="I4" s="54"/>
      <c r="J4" s="92" t="s">
        <v>35</v>
      </c>
      <c r="K4" s="92" t="s">
        <v>34</v>
      </c>
      <c r="L4" s="92" t="s">
        <v>31</v>
      </c>
      <c r="M4" s="92" t="s">
        <v>33</v>
      </c>
      <c r="N4" s="92" t="s">
        <v>50</v>
      </c>
    </row>
    <row r="5" spans="1:14" ht="15.75" thickBot="1">
      <c r="A5" s="94" t="s">
        <v>32</v>
      </c>
      <c r="B5" s="98"/>
      <c r="C5" s="54"/>
      <c r="D5" s="93"/>
      <c r="E5" s="93"/>
      <c r="F5" s="93"/>
      <c r="G5" s="93"/>
      <c r="H5" s="93"/>
      <c r="I5" s="54"/>
      <c r="J5" s="93"/>
      <c r="K5" s="93"/>
      <c r="L5" s="93" t="s">
        <v>31</v>
      </c>
      <c r="M5" s="93" t="s">
        <v>31</v>
      </c>
      <c r="N5" s="93"/>
    </row>
    <row r="6" spans="1:14" ht="15.75" customHeight="1" thickBot="1">
      <c r="A6" s="87" t="s">
        <v>30</v>
      </c>
      <c r="B6" s="90" t="s">
        <v>17</v>
      </c>
      <c r="C6" s="55"/>
      <c r="D6" s="77">
        <f>NIER</f>
        <v>4.4999999999999998E-2</v>
      </c>
      <c r="E6" s="77">
        <f>NIER</f>
        <v>4.4999999999999998E-2</v>
      </c>
      <c r="F6" s="77">
        <f>NIER</f>
        <v>4.4999999999999998E-2</v>
      </c>
      <c r="G6" s="77">
        <f>NIER</f>
        <v>4.4999999999999998E-2</v>
      </c>
      <c r="H6" s="77">
        <f>NIER</f>
        <v>4.4999999999999998E-2</v>
      </c>
      <c r="I6" s="55"/>
      <c r="J6" s="77">
        <f>NIER</f>
        <v>4.4999999999999998E-2</v>
      </c>
      <c r="K6" s="77">
        <f>NIER</f>
        <v>4.4999999999999998E-2</v>
      </c>
      <c r="L6" s="77">
        <f>NIER</f>
        <v>4.4999999999999998E-2</v>
      </c>
      <c r="M6" s="77">
        <f>NIER</f>
        <v>4.4999999999999998E-2</v>
      </c>
      <c r="N6" s="77">
        <f>NIER</f>
        <v>4.4999999999999998E-2</v>
      </c>
    </row>
    <row r="7" spans="1:14" ht="15.75" thickBot="1">
      <c r="A7" s="87"/>
      <c r="B7" s="80" t="s">
        <v>4</v>
      </c>
      <c r="C7" s="81"/>
      <c r="D7" s="82">
        <v>0.1</v>
      </c>
      <c r="E7" s="82">
        <v>0.1</v>
      </c>
      <c r="F7" s="82">
        <v>0.18</v>
      </c>
      <c r="G7" s="82">
        <v>0.18</v>
      </c>
      <c r="H7" s="82">
        <v>0.09</v>
      </c>
      <c r="I7" s="81"/>
      <c r="J7" s="82">
        <v>0.08</v>
      </c>
      <c r="K7" s="82">
        <v>0.08</v>
      </c>
      <c r="L7" s="82" t="s">
        <v>29</v>
      </c>
      <c r="M7" s="82" t="s">
        <v>28</v>
      </c>
      <c r="N7" s="82" t="s">
        <v>52</v>
      </c>
    </row>
    <row r="8" spans="1:14" ht="15.75" thickBot="1">
      <c r="A8" s="87"/>
      <c r="B8" s="75" t="s">
        <v>16</v>
      </c>
      <c r="C8" s="55"/>
      <c r="D8" s="88">
        <v>0</v>
      </c>
      <c r="E8" s="88">
        <v>0.5</v>
      </c>
      <c r="F8" s="88">
        <v>0</v>
      </c>
      <c r="G8" s="88">
        <v>0.5</v>
      </c>
      <c r="H8" s="88">
        <v>0</v>
      </c>
      <c r="I8" s="55"/>
      <c r="J8" s="88">
        <v>0.25</v>
      </c>
      <c r="K8" s="88">
        <v>0.2</v>
      </c>
      <c r="L8" s="88">
        <v>0</v>
      </c>
      <c r="M8" s="89">
        <v>0.3</v>
      </c>
      <c r="N8" s="88">
        <v>0</v>
      </c>
    </row>
    <row r="9" spans="1:14" ht="15.75" thickBot="1">
      <c r="A9" s="87" t="s">
        <v>41</v>
      </c>
      <c r="B9" s="74" t="s">
        <v>66</v>
      </c>
      <c r="C9" s="55"/>
      <c r="D9" s="57">
        <f>VLOOKUP(D7,Data,3)*(1+NIER)*(1+D8)</f>
        <v>4.4999999999999998E-2</v>
      </c>
      <c r="E9" s="57">
        <f>VLOOKUP(E7,Data,3)*(1+NIER)*(1+E8)</f>
        <v>6.7500000000000004E-2</v>
      </c>
      <c r="F9" s="57">
        <f>VLOOKUP(F7,Data,3)*(1+NIER)*(1+F8)</f>
        <v>5.7226027397260279E-2</v>
      </c>
      <c r="G9" s="57">
        <f>VLOOKUP(G7,Data,3)*(1+NIER)*(1+G8)</f>
        <v>8.5839041095890412E-2</v>
      </c>
      <c r="H9" s="57">
        <f>VLOOKUP(H7,Data,3)*(1+NIER)*(1+H8)</f>
        <v>4.2020547945205482E-2</v>
      </c>
      <c r="I9" s="55"/>
      <c r="J9" s="57">
        <f>VLOOKUP(J7,Data,3)*(1+NIER)*(1+J8)</f>
        <v>4.8287671232876722E-2</v>
      </c>
      <c r="K9" s="57">
        <f>VLOOKUP(K7,Data,3)*(1+NIER)*(1+K8)</f>
        <v>4.6356164383561653E-2</v>
      </c>
      <c r="L9" s="57">
        <f>VLOOKUP(L7,Data,3)*(1+NIER)*(1+L8)+1%</f>
        <v>4.6061643835616443E-2</v>
      </c>
      <c r="M9" s="57">
        <f>VLOOKUP(M7,Data,3)*(1+NIER)*(1+M8)+1%</f>
        <v>4.7797945205479454E-2</v>
      </c>
      <c r="N9" s="57">
        <f>VLOOKUP(N7,Data,3)*(1+NIER)*(1+N8)+1%</f>
        <v>6.1369863013698643E-2</v>
      </c>
    </row>
    <row r="10" spans="1:14" ht="15.75" thickBot="1">
      <c r="A10" s="87" t="s">
        <v>27</v>
      </c>
      <c r="B10" s="76" t="s">
        <v>67</v>
      </c>
      <c r="C10" s="55"/>
      <c r="D10" s="83">
        <f>MAX(D9-$D$9,0)</f>
        <v>0</v>
      </c>
      <c r="E10" s="83">
        <f>MAX(E9-$D$9,0)</f>
        <v>2.2500000000000006E-2</v>
      </c>
      <c r="F10" s="83">
        <f>MAX(F9-$D$9,0)</f>
        <v>1.2226027397260281E-2</v>
      </c>
      <c r="G10" s="83">
        <f>MAX(G9-$D$9,0)</f>
        <v>4.0839041095890413E-2</v>
      </c>
      <c r="H10" s="83">
        <f>MAX(H9-$D$9,0)</f>
        <v>0</v>
      </c>
      <c r="I10" s="55"/>
      <c r="J10" s="83">
        <f>MAX(J9-$D$9,0)</f>
        <v>3.2876712328767238E-3</v>
      </c>
      <c r="K10" s="83">
        <f>MAX(K9-$D$9,0)</f>
        <v>1.3561643835616546E-3</v>
      </c>
      <c r="L10" s="83">
        <f>MAX(L9-$D$9,0)</f>
        <v>1.0616438356164451E-3</v>
      </c>
      <c r="M10" s="83">
        <f>MAX(M9-$D$9,0)</f>
        <v>2.797945205479456E-3</v>
      </c>
      <c r="N10" s="83">
        <f>MAX(N9-$D$9,0)</f>
        <v>1.6369863013698645E-2</v>
      </c>
    </row>
    <row r="11" spans="1:14" ht="3.75" customHeight="1" thickBot="1">
      <c r="A11" s="67"/>
      <c r="B11" s="72"/>
      <c r="C11" s="55"/>
      <c r="D11" s="56"/>
      <c r="E11" s="56"/>
      <c r="F11" s="56"/>
      <c r="G11" s="56"/>
      <c r="H11" s="56"/>
      <c r="I11" s="55"/>
      <c r="J11" s="56"/>
      <c r="K11" s="56"/>
      <c r="L11" s="56"/>
      <c r="M11" s="65"/>
      <c r="N11" s="56"/>
    </row>
    <row r="12" spans="1:14" ht="34.5" customHeight="1" thickBot="1">
      <c r="A12" s="87" t="s">
        <v>26</v>
      </c>
      <c r="B12" s="74" t="s">
        <v>68</v>
      </c>
      <c r="C12" s="55"/>
      <c r="D12" s="59">
        <f>MIN(VLOOKUP($D$7,Data,4),1.45*D6)</f>
        <v>6.2000000000000006E-2</v>
      </c>
      <c r="E12" s="59" t="s">
        <v>42</v>
      </c>
      <c r="F12" s="59" t="s">
        <v>42</v>
      </c>
      <c r="G12" s="59" t="s">
        <v>42</v>
      </c>
      <c r="H12" s="59" t="s">
        <v>42</v>
      </c>
      <c r="I12" s="55"/>
      <c r="J12" s="59" t="s">
        <v>42</v>
      </c>
      <c r="K12" s="59" t="s">
        <v>42</v>
      </c>
      <c r="L12" s="59" t="s">
        <v>42</v>
      </c>
      <c r="M12" s="59" t="s">
        <v>42</v>
      </c>
      <c r="N12" s="59" t="s">
        <v>42</v>
      </c>
    </row>
    <row r="13" spans="1:14" ht="24.75" thickBot="1">
      <c r="A13" s="87" t="s">
        <v>25</v>
      </c>
      <c r="B13" s="75" t="s">
        <v>43</v>
      </c>
      <c r="C13" s="55"/>
      <c r="D13" s="77" t="s">
        <v>42</v>
      </c>
      <c r="E13" s="77">
        <f>$D$12+E10</f>
        <v>8.450000000000002E-2</v>
      </c>
      <c r="F13" s="77">
        <f>$D$12+F10</f>
        <v>7.422602739726028E-2</v>
      </c>
      <c r="G13" s="77">
        <f>$D$12+G10</f>
        <v>0.10283904109589043</v>
      </c>
      <c r="H13" s="77">
        <f>$D$12+H10</f>
        <v>6.2000000000000006E-2</v>
      </c>
      <c r="I13" s="55"/>
      <c r="J13" s="77">
        <f>$D$12+J10</f>
        <v>6.5287671232876737E-2</v>
      </c>
      <c r="K13" s="77">
        <f>$D$12+K10</f>
        <v>6.3356164383561661E-2</v>
      </c>
      <c r="L13" s="77">
        <f>$D$12+L10</f>
        <v>6.3061643835616452E-2</v>
      </c>
      <c r="M13" s="77">
        <f>$D$12+M10</f>
        <v>6.4797945205479462E-2</v>
      </c>
      <c r="N13" s="77">
        <f>$D$12+N10</f>
        <v>7.8369863013698651E-2</v>
      </c>
    </row>
    <row r="14" spans="1:14" ht="24.75" thickBot="1">
      <c r="A14" s="87" t="s">
        <v>24</v>
      </c>
      <c r="B14" s="74" t="s">
        <v>44</v>
      </c>
      <c r="C14" s="55"/>
      <c r="D14" s="59" t="s">
        <v>42</v>
      </c>
      <c r="E14" s="59">
        <f>VLOOKUP(E$7,Data,4)*(1+E8)</f>
        <v>9.3000000000000013E-2</v>
      </c>
      <c r="F14" s="59">
        <f>VLOOKUP(F$7,Data,4)*(1+F8)</f>
        <v>9.088636363636364E-2</v>
      </c>
      <c r="G14" s="59">
        <f>VLOOKUP(G$7,Data,4)*(1+G8)</f>
        <v>0.13632954545454545</v>
      </c>
      <c r="H14" s="59">
        <f>VLOOKUP(H$7,Data,4)*(1+H8)</f>
        <v>5.7068181818181823E-2</v>
      </c>
      <c r="I14" s="55"/>
      <c r="J14" s="59">
        <f>VLOOKUP(J$7,Data,4)*(1+J8)</f>
        <v>6.4793019480519479E-2</v>
      </c>
      <c r="K14" s="59">
        <f>VLOOKUP(K$7,Data,4)*(1+K8)</f>
        <v>6.2201298701298702E-2</v>
      </c>
      <c r="L14" s="59">
        <f>VLOOKUP(L$7,Data,4)*(1+L8)</f>
        <v>5.9987012987012991E-2</v>
      </c>
      <c r="M14" s="59">
        <f>VLOOKUP(M$7,Data,4)*(1+M8)</f>
        <v>6.3851948051948063E-2</v>
      </c>
      <c r="N14" s="59">
        <f>VLOOKUP(N$7,Data,4)*(1+N8)</f>
        <v>9.3905844155844159E-2</v>
      </c>
    </row>
    <row r="15" spans="1:14" ht="15" customHeight="1">
      <c r="A15" s="101" t="s">
        <v>45</v>
      </c>
      <c r="B15" s="84" t="s">
        <v>46</v>
      </c>
      <c r="C15" s="55"/>
      <c r="D15" s="61"/>
      <c r="E15" s="61"/>
      <c r="F15" s="61"/>
      <c r="G15" s="61"/>
      <c r="H15" s="61"/>
      <c r="I15" s="55"/>
      <c r="J15" s="61"/>
      <c r="K15" s="61"/>
      <c r="L15" s="61"/>
      <c r="M15" s="61"/>
      <c r="N15" s="61"/>
    </row>
    <row r="16" spans="1:14">
      <c r="A16" s="101"/>
      <c r="B16" s="79" t="s">
        <v>47</v>
      </c>
      <c r="C16" s="55"/>
      <c r="D16" s="61">
        <f>D12</f>
        <v>6.2000000000000006E-2</v>
      </c>
      <c r="E16" s="61">
        <f>MIN(E13,E14)</f>
        <v>8.450000000000002E-2</v>
      </c>
      <c r="F16" s="61">
        <f>MIN(F13,F14)</f>
        <v>7.422602739726028E-2</v>
      </c>
      <c r="G16" s="61">
        <f>MIN(G13,G14)</f>
        <v>0.10283904109589043</v>
      </c>
      <c r="H16" s="61">
        <f>MIN(H13,H14)</f>
        <v>5.7068181818181823E-2</v>
      </c>
      <c r="I16" s="55"/>
      <c r="J16" s="61">
        <f>MIN(J13,J14)</f>
        <v>6.4793019480519479E-2</v>
      </c>
      <c r="K16" s="61">
        <f>MIN(K13,K14)</f>
        <v>6.2201298701298702E-2</v>
      </c>
      <c r="L16" s="61">
        <f>MIN(L13,L14)</f>
        <v>5.9987012987012991E-2</v>
      </c>
      <c r="M16" s="61">
        <f>MIN(M13,M14)</f>
        <v>6.3851948051948063E-2</v>
      </c>
      <c r="N16" s="61">
        <f>MIN(N13,N14)</f>
        <v>7.8369863013698651E-2</v>
      </c>
    </row>
    <row r="17" spans="1:14" ht="15.75" thickBot="1">
      <c r="A17" s="102"/>
      <c r="B17" s="79" t="s">
        <v>48</v>
      </c>
      <c r="C17" s="55"/>
      <c r="D17" s="60"/>
      <c r="E17" s="60"/>
      <c r="F17" s="60"/>
      <c r="G17" s="60"/>
      <c r="H17" s="60"/>
      <c r="I17" s="55"/>
      <c r="J17" s="60"/>
      <c r="K17" s="60"/>
      <c r="L17" s="60"/>
      <c r="M17" s="60"/>
      <c r="N17" s="60"/>
    </row>
    <row r="18" spans="1:14" ht="3.75" customHeight="1" thickBot="1">
      <c r="A18" s="73"/>
      <c r="B18" s="72" t="s">
        <v>15</v>
      </c>
      <c r="C18" s="55"/>
      <c r="D18" s="56"/>
      <c r="E18" s="56"/>
      <c r="F18" s="71"/>
      <c r="G18" s="56"/>
      <c r="H18" s="56"/>
      <c r="I18" s="55"/>
      <c r="J18" s="56"/>
      <c r="K18" s="56"/>
      <c r="L18" s="56"/>
      <c r="M18" s="65"/>
      <c r="N18" s="71"/>
    </row>
    <row r="19" spans="1:14">
      <c r="A19" s="67"/>
      <c r="B19" s="99" t="s">
        <v>69</v>
      </c>
      <c r="C19" s="55"/>
      <c r="D19" s="62">
        <f>D16-D10</f>
        <v>6.2000000000000006E-2</v>
      </c>
      <c r="E19" s="62">
        <f>E16-E10</f>
        <v>6.2000000000000013E-2</v>
      </c>
      <c r="F19" s="62">
        <f>F16-F10</f>
        <v>6.2E-2</v>
      </c>
      <c r="G19" s="62">
        <f>G16-G10</f>
        <v>6.2000000000000013E-2</v>
      </c>
      <c r="H19" s="78">
        <f>H16-H10</f>
        <v>5.7068181818181823E-2</v>
      </c>
      <c r="I19" s="55"/>
      <c r="J19" s="62">
        <f>J16-J10</f>
        <v>6.1505348247642755E-2</v>
      </c>
      <c r="K19" s="62">
        <f>K16-K10</f>
        <v>6.0845134317737047E-2</v>
      </c>
      <c r="L19" s="78">
        <f>L16-L10</f>
        <v>5.8925369151396546E-2</v>
      </c>
      <c r="M19" s="62">
        <f>M16-M10</f>
        <v>6.1054002846468607E-2</v>
      </c>
      <c r="N19" s="62">
        <f>N16-N10</f>
        <v>6.2000000000000006E-2</v>
      </c>
    </row>
    <row r="20" spans="1:14" ht="15.75" thickBot="1">
      <c r="A20" s="67"/>
      <c r="B20" s="100"/>
      <c r="C20" s="55"/>
      <c r="D20" s="63" t="str">
        <f>TEXT(D16,"0.00%")&amp;" - "&amp;TEXT(D10,"0.00%")</f>
        <v>6.20% - 0.00%</v>
      </c>
      <c r="E20" s="63" t="str">
        <f>TEXT(E16,"0.00%")&amp;" - "&amp;TEXT(E10,"0.00%")</f>
        <v>8.45% - 2.25%</v>
      </c>
      <c r="F20" s="63" t="str">
        <f>TEXT(F16,"0.00%")&amp;" - "&amp;TEXT(F10,"0.00%")</f>
        <v>7.42% - 1.22%</v>
      </c>
      <c r="G20" s="63" t="str">
        <f>TEXT(G16,"0.00%")&amp;" - "&amp;TEXT(G10,"0.00%")</f>
        <v>10.28% - 4.08%</v>
      </c>
      <c r="H20" s="63" t="str">
        <f>TEXT(H16,"0.00%")&amp;" - "&amp;TEXT(H10,"0.00%")</f>
        <v>5.71% - 0.00%</v>
      </c>
      <c r="I20" s="55"/>
      <c r="J20" s="63" t="str">
        <f>TEXT(J16,"0.00%")&amp;" - "&amp;TEXT(J10,"0.00%")</f>
        <v>6.48% - 0.33%</v>
      </c>
      <c r="K20" s="63" t="str">
        <f>TEXT(K16,"0.00%")&amp;" - "&amp;TEXT(K10,"0.00%")</f>
        <v>6.22% - 0.14%</v>
      </c>
      <c r="L20" s="63" t="str">
        <f>TEXT(L16,"0.00%")&amp;" - "&amp;TEXT(L10,"0.00%")</f>
        <v>6.00% - 0.11%</v>
      </c>
      <c r="M20" s="63" t="str">
        <f>TEXT(M16,"0.00%")&amp;" - "&amp;TEXT(M10,"0.00%")</f>
        <v>6.39% - 0.28%</v>
      </c>
      <c r="N20" s="63" t="str">
        <f>TEXT(N16,"0.00%")&amp;" - "&amp;TEXT(N10,"0.00%")</f>
        <v>7.84% - 1.64%</v>
      </c>
    </row>
    <row r="21" spans="1:14" ht="15.75" thickBot="1">
      <c r="B21" s="70"/>
      <c r="C21" s="54"/>
      <c r="D21" s="69"/>
      <c r="E21" s="68"/>
      <c r="F21" s="68"/>
      <c r="G21" s="68"/>
      <c r="H21" s="68"/>
      <c r="I21" s="54"/>
      <c r="J21" s="85"/>
      <c r="K21" s="86"/>
      <c r="L21" s="85"/>
      <c r="M21" s="85"/>
      <c r="N21" s="68"/>
    </row>
    <row r="22" spans="1:14" ht="15.75" thickBot="1">
      <c r="A22" s="67"/>
      <c r="B22" s="66" t="s">
        <v>70</v>
      </c>
      <c r="C22" s="54"/>
      <c r="D22" s="64">
        <f>D16/(1+D8)</f>
        <v>6.2000000000000006E-2</v>
      </c>
      <c r="E22" s="59">
        <f>E16/(1+E8)</f>
        <v>5.6333333333333346E-2</v>
      </c>
      <c r="F22" s="59">
        <f>F16/(1+F8)</f>
        <v>7.422602739726028E-2</v>
      </c>
      <c r="G22" s="59">
        <f>G16/(1+G8)</f>
        <v>6.8559360730593613E-2</v>
      </c>
      <c r="H22" s="59">
        <f>H16/(1+H8)</f>
        <v>5.7068181818181823E-2</v>
      </c>
      <c r="I22" s="54"/>
      <c r="J22" s="64">
        <f>J16/(1+J8)</f>
        <v>5.183441558441558E-2</v>
      </c>
      <c r="K22" s="59">
        <f>K16/(1+K8)</f>
        <v>5.1834415584415587E-2</v>
      </c>
      <c r="L22" s="59">
        <f>L16/(1+L8)</f>
        <v>5.9987012987012991E-2</v>
      </c>
      <c r="M22" s="59">
        <f>M16/(1+M8)</f>
        <v>4.9116883116883121E-2</v>
      </c>
      <c r="N22" s="59">
        <f>N16/(1+N8)</f>
        <v>7.8369863013698651E-2</v>
      </c>
    </row>
    <row r="23" spans="1:14" ht="15.75" thickBot="1">
      <c r="B23" s="54"/>
      <c r="C23" s="54"/>
      <c r="D23" s="69"/>
      <c r="E23" s="68"/>
      <c r="F23" s="68"/>
      <c r="G23" s="68"/>
      <c r="H23" s="68"/>
      <c r="I23" s="54"/>
      <c r="J23" s="85"/>
      <c r="K23" s="86"/>
      <c r="L23" s="85"/>
      <c r="M23" s="85"/>
      <c r="N23" s="68"/>
    </row>
    <row r="24" spans="1:14" ht="24.75" thickBot="1">
      <c r="A24" s="87" t="s">
        <v>49</v>
      </c>
      <c r="B24" s="52" t="s">
        <v>71</v>
      </c>
      <c r="C24" s="54"/>
      <c r="D24" s="51">
        <f>D6+0.45*MIN($D$9,D9)</f>
        <v>6.5250000000000002E-2</v>
      </c>
      <c r="E24" s="51">
        <f>E6+0.45*MIN($D$9,E9)</f>
        <v>6.5250000000000002E-2</v>
      </c>
      <c r="F24" s="51">
        <f>F6+0.45*MIN($D$9,F9)</f>
        <v>6.5250000000000002E-2</v>
      </c>
      <c r="G24" s="51">
        <f>G6+0.45*MIN($D$9,G9)</f>
        <v>6.5250000000000002E-2</v>
      </c>
      <c r="H24" s="51">
        <f>H6+0.45*MIN($D$9,H9)</f>
        <v>6.3909246575342471E-2</v>
      </c>
      <c r="I24" s="54"/>
      <c r="J24" s="51">
        <f>J6+0.45*MIN($D$9,J9)</f>
        <v>6.5250000000000002E-2</v>
      </c>
      <c r="K24" s="51">
        <f>K6+0.45*MIN($D$9,K9)</f>
        <v>6.5250000000000002E-2</v>
      </c>
      <c r="L24" s="51">
        <f>L6+0.45*MIN($D$9,L9)</f>
        <v>6.5250000000000002E-2</v>
      </c>
      <c r="M24" s="51">
        <f>M6+0.45*MIN($D$9,M9)</f>
        <v>6.5250000000000002E-2</v>
      </c>
      <c r="N24" s="51">
        <f>N6+0.45*MIN($D$9,N9)</f>
        <v>6.5250000000000002E-2</v>
      </c>
    </row>
    <row r="26" spans="1:14">
      <c r="B26" s="54"/>
    </row>
    <row r="27" spans="1:14">
      <c r="B27" s="54"/>
    </row>
    <row r="28" spans="1:14">
      <c r="B28" s="54"/>
    </row>
    <row r="29" spans="1:14">
      <c r="B29" s="54"/>
    </row>
    <row r="30" spans="1:14">
      <c r="B30" s="54"/>
    </row>
    <row r="31" spans="1:14">
      <c r="B31" s="54"/>
    </row>
    <row r="32" spans="1:14">
      <c r="B32" s="54"/>
    </row>
    <row r="33" spans="2:2">
      <c r="B33" s="54"/>
    </row>
    <row r="34" spans="2:2">
      <c r="B34" s="54"/>
    </row>
    <row r="35" spans="2:2">
      <c r="B35" s="54"/>
    </row>
  </sheetData>
  <mergeCells count="23">
    <mergeCell ref="A15:A17"/>
    <mergeCell ref="L2:L3"/>
    <mergeCell ref="M2:M3"/>
    <mergeCell ref="N2:N3"/>
    <mergeCell ref="A4:A5"/>
    <mergeCell ref="B4:B5"/>
    <mergeCell ref="D4:D5"/>
    <mergeCell ref="E4:E5"/>
    <mergeCell ref="F4:F5"/>
    <mergeCell ref="L4:L5"/>
    <mergeCell ref="M4:M5"/>
    <mergeCell ref="G2:G3"/>
    <mergeCell ref="H2:H3"/>
    <mergeCell ref="N4:N5"/>
    <mergeCell ref="B19:B20"/>
    <mergeCell ref="J4:J5"/>
    <mergeCell ref="K4:K5"/>
    <mergeCell ref="J2:J3"/>
    <mergeCell ref="K2:K3"/>
    <mergeCell ref="G4:G5"/>
    <mergeCell ref="H4:H5"/>
    <mergeCell ref="E2:E3"/>
    <mergeCell ref="F2:F3"/>
  </mergeCells>
  <conditionalFormatting sqref="D19:H19 J19:M19">
    <cfRule type="cellIs" dxfId="11" priority="3" operator="notEqual">
      <formula>$D$19</formula>
    </cfRule>
    <cfRule type="cellIs" dxfId="10" priority="4" operator="equal">
      <formula>$D$19</formula>
    </cfRule>
  </conditionalFormatting>
  <conditionalFormatting sqref="N19">
    <cfRule type="cellIs" dxfId="9" priority="1" operator="notEqual">
      <formula>$D$19</formula>
    </cfRule>
    <cfRule type="cellIs" dxfId="8" priority="2" operator="equal">
      <formula>$D$19</formula>
    </cfRule>
  </conditionalFormatting>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2015-2019 Data</vt:lpstr>
      <vt:lpstr>Independent Proposal (Original)</vt:lpstr>
      <vt:lpstr>Independent Proposal (Modified)</vt:lpstr>
      <vt:lpstr>ACLI 04-14-20 Draft-BIA HB=NIER</vt:lpstr>
      <vt:lpstr>'Independent Proposal (Modified)'!Data</vt:lpstr>
      <vt:lpstr>'Independent Proposal (Original)'!Data</vt:lpstr>
      <vt:lpstr>Data</vt:lpstr>
      <vt:lpstr>'Independent Proposal (Modified)'!NIER</vt:lpstr>
      <vt:lpstr>'Independent Proposal (Original)'!NIER</vt:lpstr>
      <vt:lpstr>NIER</vt:lpstr>
      <vt:lpstr>'ACLI 04-14-20 Draft-BIA HB=NIER'!Print_Area</vt:lpstr>
      <vt:lpstr>'Independent Proposal (Modified)'!Print_Area</vt:lpstr>
      <vt:lpstr>'Independent Proposal (Original)'!Print_Area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Carol</dc:creator>
  <cp:lastModifiedBy>Bobby Samuelson</cp:lastModifiedBy>
  <cp:lastPrinted>2020-03-03T22:51:06Z</cp:lastPrinted>
  <dcterms:created xsi:type="dcterms:W3CDTF">2019-11-18T16:27:14Z</dcterms:created>
  <dcterms:modified xsi:type="dcterms:W3CDTF">2020-05-19T19:23:22Z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a85edf-1344-4c6a-a94e-0a9833d749f3_Enabled">
    <vt:lpwstr>True</vt:lpwstr>
  </property>
  <property fmtid="{D5CDD505-2E9C-101B-9397-08002B2CF9AE}" pid="3" name="MSIP_Label_f1a85edf-1344-4c6a-a94e-0a9833d749f3_SiteId">
    <vt:lpwstr>3bea478c-1684-4a8c-8e85-045ec54ba430</vt:lpwstr>
  </property>
  <property fmtid="{D5CDD505-2E9C-101B-9397-08002B2CF9AE}" pid="4" name="MSIP_Label_f1a85edf-1344-4c6a-a94e-0a9833d749f3_Owner">
    <vt:lpwstr>Meyer.Carol.A@principal.com</vt:lpwstr>
  </property>
  <property fmtid="{D5CDD505-2E9C-101B-9397-08002B2CF9AE}" pid="5" name="MSIP_Label_f1a85edf-1344-4c6a-a94e-0a9833d749f3_SetDate">
    <vt:lpwstr>2019-11-18T17:52:35.5962291Z</vt:lpwstr>
  </property>
  <property fmtid="{D5CDD505-2E9C-101B-9397-08002B2CF9AE}" pid="6" name="MSIP_Label_f1a85edf-1344-4c6a-a94e-0a9833d749f3_Name">
    <vt:lpwstr>Internal Use</vt:lpwstr>
  </property>
  <property fmtid="{D5CDD505-2E9C-101B-9397-08002B2CF9AE}" pid="7" name="MSIP_Label_f1a85edf-1344-4c6a-a94e-0a9833d749f3_Application">
    <vt:lpwstr>Microsoft Azure Information Protection</vt:lpwstr>
  </property>
  <property fmtid="{D5CDD505-2E9C-101B-9397-08002B2CF9AE}" pid="8" name="MSIP_Label_f1a85edf-1344-4c6a-a94e-0a9833d749f3_ActionId">
    <vt:lpwstr>39386985-9ccb-4d58-97ba-b3503bde66bc</vt:lpwstr>
  </property>
  <property fmtid="{D5CDD505-2E9C-101B-9397-08002B2CF9AE}" pid="9" name="MSIP_Label_f1a85edf-1344-4c6a-a94e-0a9833d749f3_Extended_MSFT_Method">
    <vt:lpwstr>Manual</vt:lpwstr>
  </property>
  <property fmtid="{D5CDD505-2E9C-101B-9397-08002B2CF9AE}" pid="10" name="Sensitivity">
    <vt:lpwstr>Internal Use</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4" name="_NewReviewCycle">
    <vt:lpwstr/>
  </property>
</Properties>
</file>